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ta.DESKTOP-28TETF1\Documents\13 - Meta\00 Editais\MJSP\02 Modelo de custos\Planilha de exequibilidade\Cenário com Oneração - Preço Meta\"/>
    </mc:Choice>
  </mc:AlternateContent>
  <xr:revisionPtr revIDLastSave="0" documentId="13_ncr:1_{928DE83C-E453-463A-B02A-988FFB276E9C}" xr6:coauthVersionLast="45" xr6:coauthVersionMax="45" xr10:uidLastSave="{00000000-0000-0000-0000-000000000000}"/>
  <bookViews>
    <workbookView xWindow="20370" yWindow="-120" windowWidth="20730" windowHeight="11160" tabRatio="787" activeTab="2" xr2:uid="{00000000-000D-0000-FFFF-FFFF00000000}"/>
  </bookViews>
  <sheets>
    <sheet name="Orientações Gerais" sheetId="2" r:id="rId1"/>
    <sheet name="Dados da Empresa" sheetId="1" r:id="rId2"/>
    <sheet name="Custos do Time" sheetId="3" r:id="rId3"/>
    <sheet name="1" sheetId="5" r:id="rId4"/>
    <sheet name="2" sheetId="20" r:id="rId5"/>
    <sheet name="3" sheetId="21" r:id="rId6"/>
    <sheet name="4" sheetId="22" r:id="rId7"/>
    <sheet name="5" sheetId="23" r:id="rId8"/>
    <sheet name="6" sheetId="24" r:id="rId9"/>
    <sheet name="7" sheetId="25" r:id="rId10"/>
    <sheet name="8" sheetId="26" r:id="rId11"/>
  </sheets>
  <definedNames>
    <definedName name="_xlnm.Print_Area" localSheetId="3">'1'!$A$3:$C$112</definedName>
    <definedName name="_xlnm.Print_Area" localSheetId="4">'2'!$A$3:$C$112</definedName>
    <definedName name="_xlnm.Print_Area" localSheetId="5">'3'!$A$3:$C$112</definedName>
    <definedName name="_xlnm.Print_Area" localSheetId="6">'4'!$A$3:$C$112</definedName>
    <definedName name="_xlnm.Print_Area" localSheetId="7">'5'!$A$3:$C$112</definedName>
    <definedName name="_xlnm.Print_Area" localSheetId="8">'6'!$A$3:$C$112</definedName>
    <definedName name="_xlnm.Print_Area" localSheetId="9">'7'!$A$3:$C$112</definedName>
    <definedName name="_xlnm.Print_Area" localSheetId="10">'8'!$A$3:$C$112</definedName>
    <definedName name="_xlnm.Print_Titles" localSheetId="3">'1'!$1:$2</definedName>
    <definedName name="_xlnm.Print_Titles" localSheetId="4">'2'!$1:$2</definedName>
    <definedName name="_xlnm.Print_Titles" localSheetId="5">'3'!$1:$2</definedName>
    <definedName name="_xlnm.Print_Titles" localSheetId="6">'4'!$1:$2</definedName>
    <definedName name="_xlnm.Print_Titles" localSheetId="7">'5'!$1:$2</definedName>
    <definedName name="_xlnm.Print_Titles" localSheetId="8">'6'!$1:$2</definedName>
    <definedName name="_xlnm.Print_Titles" localSheetId="9">'7'!$1:$2</definedName>
    <definedName name="_xlnm.Print_Titles" localSheetId="10">'8'!$1:$2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3" l="1"/>
  <c r="B16" i="20" l="1"/>
  <c r="B17" i="20"/>
  <c r="B16" i="21"/>
  <c r="B17" i="21"/>
  <c r="B16" i="22"/>
  <c r="B17" i="22"/>
  <c r="B16" i="23"/>
  <c r="B17" i="23"/>
  <c r="B16" i="25"/>
  <c r="B17" i="25"/>
  <c r="B16" i="26"/>
  <c r="B17" i="26"/>
  <c r="B16" i="5"/>
  <c r="B17" i="5"/>
  <c r="B15" i="20"/>
  <c r="B15" i="21"/>
  <c r="B15" i="22"/>
  <c r="B15" i="23"/>
  <c r="B15" i="25"/>
  <c r="B15" i="26"/>
  <c r="B15" i="5"/>
  <c r="B56" i="26" l="1"/>
  <c r="B56" i="25"/>
  <c r="B56" i="24"/>
  <c r="B56" i="23"/>
  <c r="B56" i="22" l="1"/>
  <c r="B56" i="21"/>
  <c r="B56" i="5"/>
  <c r="B56" i="20"/>
  <c r="C16" i="26"/>
  <c r="C16" i="25"/>
  <c r="C16" i="24"/>
  <c r="C16" i="23"/>
  <c r="C16" i="22"/>
  <c r="C16" i="21"/>
  <c r="C16" i="20"/>
  <c r="C19" i="5"/>
  <c r="C16" i="5"/>
  <c r="C15" i="5"/>
  <c r="C113" i="26" l="1"/>
  <c r="B102" i="26"/>
  <c r="B40" i="26"/>
  <c r="A26" i="26"/>
  <c r="C7" i="26"/>
  <c r="C8" i="26" s="1"/>
  <c r="B46" i="26" l="1"/>
  <c r="B47" i="26" s="1"/>
  <c r="B79" i="26" s="1"/>
  <c r="B78" i="26"/>
  <c r="B71" i="26"/>
  <c r="B72" i="26" s="1"/>
  <c r="B82" i="26" s="1"/>
  <c r="C82" i="26" s="1"/>
  <c r="B51" i="26"/>
  <c r="B52" i="26" s="1"/>
  <c r="B80" i="26" s="1"/>
  <c r="B59" i="26"/>
  <c r="B61" i="26" s="1"/>
  <c r="B81" i="26" s="1"/>
  <c r="C81" i="26" s="1"/>
  <c r="C15" i="26"/>
  <c r="C19" i="26"/>
  <c r="B74" i="26"/>
  <c r="C111" i="26"/>
  <c r="C67" i="26"/>
  <c r="C60" i="26"/>
  <c r="C46" i="26"/>
  <c r="C39" i="26"/>
  <c r="C33" i="26"/>
  <c r="C25" i="26"/>
  <c r="C11" i="26"/>
  <c r="C78" i="26"/>
  <c r="C64" i="26"/>
  <c r="C57" i="26"/>
  <c r="C50" i="26"/>
  <c r="C36" i="26"/>
  <c r="C80" i="26"/>
  <c r="C66" i="26"/>
  <c r="C59" i="26"/>
  <c r="C38" i="26"/>
  <c r="C32" i="26"/>
  <c r="C24" i="26"/>
  <c r="C79" i="26"/>
  <c r="C65" i="26"/>
  <c r="C58" i="26"/>
  <c r="C51" i="26"/>
  <c r="C44" i="26"/>
  <c r="C37" i="26"/>
  <c r="C43" i="26"/>
  <c r="C27" i="26"/>
  <c r="C83" i="26"/>
  <c r="C69" i="26"/>
  <c r="C56" i="26"/>
  <c r="C35" i="26"/>
  <c r="C26" i="26"/>
  <c r="C68" i="26"/>
  <c r="C55" i="26"/>
  <c r="C34" i="26"/>
  <c r="C113" i="25"/>
  <c r="B40" i="25"/>
  <c r="A26" i="25"/>
  <c r="C7" i="25"/>
  <c r="C8" i="25" s="1"/>
  <c r="C113" i="24"/>
  <c r="B102" i="24"/>
  <c r="B40" i="24"/>
  <c r="A26" i="24"/>
  <c r="C7" i="24"/>
  <c r="C8" i="24" s="1"/>
  <c r="C113" i="23"/>
  <c r="B40" i="23"/>
  <c r="A26" i="23"/>
  <c r="C7" i="23"/>
  <c r="C8" i="23" s="1"/>
  <c r="C113" i="22"/>
  <c r="B102" i="22"/>
  <c r="B40" i="22"/>
  <c r="A26" i="22"/>
  <c r="C7" i="22"/>
  <c r="C8" i="22" s="1"/>
  <c r="C113" i="21"/>
  <c r="B40" i="21"/>
  <c r="A26" i="21"/>
  <c r="C7" i="21"/>
  <c r="C8" i="21" s="1"/>
  <c r="C113" i="20"/>
  <c r="B40" i="20"/>
  <c r="A26" i="20"/>
  <c r="C7" i="20"/>
  <c r="C8" i="20" s="1"/>
  <c r="C71" i="26" l="1"/>
  <c r="C72" i="26" s="1"/>
  <c r="B84" i="26"/>
  <c r="B59" i="25"/>
  <c r="B61" i="25" s="1"/>
  <c r="B81" i="25" s="1"/>
  <c r="C81" i="25" s="1"/>
  <c r="B51" i="25"/>
  <c r="B52" i="25" s="1"/>
  <c r="B80" i="25" s="1"/>
  <c r="B46" i="25"/>
  <c r="B47" i="25" s="1"/>
  <c r="B79" i="25" s="1"/>
  <c r="B78" i="25"/>
  <c r="B71" i="25"/>
  <c r="B72" i="25" s="1"/>
  <c r="B82" i="25" s="1"/>
  <c r="C82" i="25" s="1"/>
  <c r="B78" i="24"/>
  <c r="B51" i="24"/>
  <c r="B52" i="24" s="1"/>
  <c r="B80" i="24" s="1"/>
  <c r="C80" i="24" s="1"/>
  <c r="B71" i="24"/>
  <c r="B72" i="24" s="1"/>
  <c r="B82" i="24" s="1"/>
  <c r="C82" i="24" s="1"/>
  <c r="B46" i="24"/>
  <c r="B47" i="24" s="1"/>
  <c r="B79" i="24" s="1"/>
  <c r="B59" i="24"/>
  <c r="B61" i="24" s="1"/>
  <c r="B81" i="24" s="1"/>
  <c r="B59" i="23"/>
  <c r="B61" i="23" s="1"/>
  <c r="B81" i="23" s="1"/>
  <c r="B78" i="23"/>
  <c r="B71" i="23"/>
  <c r="B72" i="23" s="1"/>
  <c r="B82" i="23" s="1"/>
  <c r="B46" i="23"/>
  <c r="B47" i="23" s="1"/>
  <c r="B79" i="23" s="1"/>
  <c r="B51" i="23"/>
  <c r="B52" i="23" s="1"/>
  <c r="B80" i="23" s="1"/>
  <c r="C80" i="23" s="1"/>
  <c r="B78" i="22"/>
  <c r="B71" i="22"/>
  <c r="B72" i="22" s="1"/>
  <c r="B82" i="22" s="1"/>
  <c r="C82" i="22" s="1"/>
  <c r="B59" i="22"/>
  <c r="B61" i="22" s="1"/>
  <c r="B81" i="22" s="1"/>
  <c r="B46" i="22"/>
  <c r="B47" i="22" s="1"/>
  <c r="B79" i="22" s="1"/>
  <c r="B51" i="22"/>
  <c r="B52" i="22" s="1"/>
  <c r="B80" i="22" s="1"/>
  <c r="C80" i="22" s="1"/>
  <c r="B78" i="21"/>
  <c r="B46" i="21"/>
  <c r="B47" i="21" s="1"/>
  <c r="B79" i="21" s="1"/>
  <c r="B59" i="21"/>
  <c r="B61" i="21" s="1"/>
  <c r="B81" i="21" s="1"/>
  <c r="B71" i="21"/>
  <c r="B72" i="21" s="1"/>
  <c r="B82" i="21" s="1"/>
  <c r="B51" i="21"/>
  <c r="B52" i="21" s="1"/>
  <c r="B80" i="21" s="1"/>
  <c r="C80" i="21" s="1"/>
  <c r="B78" i="20"/>
  <c r="B51" i="20"/>
  <c r="B52" i="20" s="1"/>
  <c r="B80" i="20" s="1"/>
  <c r="B71" i="20"/>
  <c r="B72" i="20" s="1"/>
  <c r="B82" i="20" s="1"/>
  <c r="B59" i="20"/>
  <c r="B61" i="20" s="1"/>
  <c r="B81" i="20" s="1"/>
  <c r="B46" i="20"/>
  <c r="B47" i="20" s="1"/>
  <c r="B79" i="20" s="1"/>
  <c r="B17" i="24"/>
  <c r="B16" i="24"/>
  <c r="C83" i="25"/>
  <c r="C19" i="25"/>
  <c r="C15" i="25"/>
  <c r="C19" i="24"/>
  <c r="C15" i="24"/>
  <c r="B15" i="24" s="1"/>
  <c r="C83" i="23"/>
  <c r="C15" i="23"/>
  <c r="C19" i="23"/>
  <c r="C83" i="22"/>
  <c r="C19" i="22"/>
  <c r="C15" i="22"/>
  <c r="C15" i="21"/>
  <c r="C19" i="21"/>
  <c r="C19" i="20"/>
  <c r="C15" i="20"/>
  <c r="B74" i="24"/>
  <c r="B74" i="21"/>
  <c r="C40" i="26"/>
  <c r="C70" i="26"/>
  <c r="C61" i="26"/>
  <c r="C28" i="26"/>
  <c r="C84" i="26"/>
  <c r="C45" i="26"/>
  <c r="C47" i="26" s="1"/>
  <c r="C52" i="26"/>
  <c r="B102" i="20"/>
  <c r="B102" i="21"/>
  <c r="B74" i="22"/>
  <c r="B102" i="23"/>
  <c r="B74" i="25"/>
  <c r="B102" i="25"/>
  <c r="C44" i="25"/>
  <c r="C46" i="25"/>
  <c r="C43" i="25"/>
  <c r="C11" i="25"/>
  <c r="C27" i="25"/>
  <c r="C33" i="25"/>
  <c r="C57" i="25"/>
  <c r="C34" i="25"/>
  <c r="C35" i="25"/>
  <c r="C36" i="25"/>
  <c r="C50" i="25"/>
  <c r="C64" i="25"/>
  <c r="C78" i="25"/>
  <c r="C37" i="25"/>
  <c r="C51" i="25"/>
  <c r="C65" i="25"/>
  <c r="C79" i="25"/>
  <c r="C60" i="25"/>
  <c r="C24" i="25"/>
  <c r="C38" i="25"/>
  <c r="C66" i="25"/>
  <c r="C80" i="25"/>
  <c r="C32" i="25"/>
  <c r="C25" i="25"/>
  <c r="C39" i="25"/>
  <c r="C67" i="25"/>
  <c r="C111" i="25"/>
  <c r="C55" i="25"/>
  <c r="C68" i="25"/>
  <c r="C58" i="25"/>
  <c r="C26" i="25"/>
  <c r="C56" i="25"/>
  <c r="C69" i="25"/>
  <c r="C50" i="24"/>
  <c r="C35" i="24"/>
  <c r="C34" i="24"/>
  <c r="C55" i="24"/>
  <c r="C60" i="24"/>
  <c r="C46" i="24"/>
  <c r="C33" i="24"/>
  <c r="C58" i="24"/>
  <c r="C44" i="24"/>
  <c r="C43" i="24"/>
  <c r="C83" i="24"/>
  <c r="C69" i="24"/>
  <c r="C56" i="24"/>
  <c r="C26" i="24"/>
  <c r="C65" i="24"/>
  <c r="C37" i="24"/>
  <c r="C59" i="24"/>
  <c r="C32" i="24"/>
  <c r="C11" i="24"/>
  <c r="C57" i="24"/>
  <c r="C27" i="24"/>
  <c r="C68" i="24"/>
  <c r="C111" i="24"/>
  <c r="C81" i="24"/>
  <c r="C67" i="24"/>
  <c r="C39" i="24"/>
  <c r="C25" i="24"/>
  <c r="C66" i="24"/>
  <c r="C38" i="24"/>
  <c r="C24" i="24"/>
  <c r="C79" i="24"/>
  <c r="C51" i="24"/>
  <c r="C64" i="24"/>
  <c r="C36" i="24"/>
  <c r="C44" i="23"/>
  <c r="C71" i="23"/>
  <c r="C32" i="23"/>
  <c r="C33" i="23"/>
  <c r="C43" i="23"/>
  <c r="C11" i="23"/>
  <c r="C58" i="23"/>
  <c r="C59" i="23"/>
  <c r="C34" i="23"/>
  <c r="C35" i="23"/>
  <c r="C57" i="23"/>
  <c r="C36" i="23"/>
  <c r="C50" i="23"/>
  <c r="C64" i="23"/>
  <c r="C78" i="23"/>
  <c r="C37" i="23"/>
  <c r="C65" i="23"/>
  <c r="C79" i="23"/>
  <c r="C24" i="23"/>
  <c r="C38" i="23"/>
  <c r="C66" i="23"/>
  <c r="C55" i="23"/>
  <c r="C68" i="23"/>
  <c r="C82" i="23"/>
  <c r="C27" i="23"/>
  <c r="C46" i="23"/>
  <c r="C60" i="23"/>
  <c r="C25" i="23"/>
  <c r="C39" i="23"/>
  <c r="C67" i="23"/>
  <c r="C81" i="23"/>
  <c r="C111" i="23"/>
  <c r="C26" i="23"/>
  <c r="C56" i="23"/>
  <c r="C69" i="23"/>
  <c r="C11" i="22"/>
  <c r="C44" i="22"/>
  <c r="C58" i="22"/>
  <c r="C71" i="22"/>
  <c r="C43" i="22"/>
  <c r="C35" i="22"/>
  <c r="C32" i="22"/>
  <c r="C46" i="22"/>
  <c r="C60" i="22"/>
  <c r="C36" i="22"/>
  <c r="C50" i="22"/>
  <c r="C64" i="22"/>
  <c r="C78" i="22"/>
  <c r="C33" i="22"/>
  <c r="C34" i="22"/>
  <c r="C37" i="22"/>
  <c r="C51" i="22"/>
  <c r="C65" i="22"/>
  <c r="C79" i="22"/>
  <c r="C57" i="22"/>
  <c r="C24" i="22"/>
  <c r="C66" i="22"/>
  <c r="C25" i="22"/>
  <c r="C39" i="22"/>
  <c r="C67" i="22"/>
  <c r="C81" i="22"/>
  <c r="C111" i="22"/>
  <c r="C55" i="22"/>
  <c r="C68" i="22"/>
  <c r="C27" i="22"/>
  <c r="C38" i="22"/>
  <c r="C26" i="22"/>
  <c r="C56" i="22"/>
  <c r="C69" i="22"/>
  <c r="C111" i="21"/>
  <c r="C66" i="21"/>
  <c r="C38" i="21"/>
  <c r="C24" i="21"/>
  <c r="C34" i="21"/>
  <c r="C60" i="21"/>
  <c r="C46" i="21"/>
  <c r="C55" i="21"/>
  <c r="C81" i="21"/>
  <c r="C39" i="21"/>
  <c r="C79" i="21"/>
  <c r="C65" i="21"/>
  <c r="C37" i="21"/>
  <c r="C35" i="21"/>
  <c r="C78" i="21"/>
  <c r="C64" i="21"/>
  <c r="C50" i="21"/>
  <c r="C36" i="21"/>
  <c r="C33" i="21"/>
  <c r="C82" i="21"/>
  <c r="C68" i="21"/>
  <c r="C67" i="21"/>
  <c r="C25" i="21"/>
  <c r="C59" i="21"/>
  <c r="C32" i="21"/>
  <c r="C43" i="21"/>
  <c r="C26" i="21"/>
  <c r="C71" i="21"/>
  <c r="C58" i="21"/>
  <c r="C44" i="21"/>
  <c r="C11" i="21"/>
  <c r="C57" i="21"/>
  <c r="C27" i="21"/>
  <c r="C83" i="21"/>
  <c r="C69" i="21"/>
  <c r="C56" i="21"/>
  <c r="C82" i="20"/>
  <c r="C68" i="20"/>
  <c r="C55" i="20"/>
  <c r="C111" i="20"/>
  <c r="C81" i="20"/>
  <c r="C67" i="20"/>
  <c r="C39" i="20"/>
  <c r="C25" i="20"/>
  <c r="C11" i="20"/>
  <c r="C80" i="20"/>
  <c r="C66" i="20"/>
  <c r="C38" i="20"/>
  <c r="C24" i="20"/>
  <c r="C35" i="20"/>
  <c r="C58" i="20"/>
  <c r="C79" i="20"/>
  <c r="C65" i="20"/>
  <c r="C51" i="20"/>
  <c r="C37" i="20"/>
  <c r="C44" i="20"/>
  <c r="C43" i="20"/>
  <c r="C26" i="20"/>
  <c r="C78" i="20"/>
  <c r="C64" i="20"/>
  <c r="C50" i="20"/>
  <c r="C36" i="20"/>
  <c r="C69" i="20"/>
  <c r="C34" i="20"/>
  <c r="C71" i="20"/>
  <c r="C57" i="20"/>
  <c r="C27" i="20"/>
  <c r="C83" i="20"/>
  <c r="C60" i="20"/>
  <c r="C46" i="20"/>
  <c r="C33" i="20"/>
  <c r="C59" i="20"/>
  <c r="C32" i="20"/>
  <c r="C56" i="20"/>
  <c r="I9" i="3"/>
  <c r="C94" i="26" s="1"/>
  <c r="B16" i="3"/>
  <c r="B17" i="3" s="1"/>
  <c r="C7" i="5"/>
  <c r="C8" i="5" s="1"/>
  <c r="C113" i="5"/>
  <c r="B102" i="5"/>
  <c r="B40" i="5"/>
  <c r="A26" i="5"/>
  <c r="C71" i="25" l="1"/>
  <c r="B84" i="25"/>
  <c r="C59" i="25"/>
  <c r="C61" i="25" s="1"/>
  <c r="B84" i="24"/>
  <c r="C71" i="24"/>
  <c r="C72" i="24" s="1"/>
  <c r="C78" i="24"/>
  <c r="C84" i="24" s="1"/>
  <c r="B74" i="23"/>
  <c r="C51" i="23"/>
  <c r="B84" i="23"/>
  <c r="C59" i="22"/>
  <c r="B84" i="22"/>
  <c r="C51" i="21"/>
  <c r="B84" i="21"/>
  <c r="B74" i="20"/>
  <c r="B84" i="20"/>
  <c r="B78" i="5"/>
  <c r="B51" i="5"/>
  <c r="B52" i="5" s="1"/>
  <c r="B80" i="5" s="1"/>
  <c r="C80" i="5" s="1"/>
  <c r="B59" i="5"/>
  <c r="B46" i="5"/>
  <c r="B71" i="5"/>
  <c r="C74" i="26"/>
  <c r="C94" i="25"/>
  <c r="C94" i="24"/>
  <c r="C94" i="23"/>
  <c r="C94" i="22"/>
  <c r="C94" i="21"/>
  <c r="C94" i="20"/>
  <c r="C52" i="24"/>
  <c r="C28" i="22"/>
  <c r="C52" i="25"/>
  <c r="C45" i="24"/>
  <c r="C47" i="24" s="1"/>
  <c r="C45" i="23"/>
  <c r="C47" i="23" s="1"/>
  <c r="C52" i="20"/>
  <c r="C40" i="25"/>
  <c r="C72" i="25"/>
  <c r="C84" i="25"/>
  <c r="C45" i="25"/>
  <c r="C47" i="25" s="1"/>
  <c r="C28" i="25"/>
  <c r="C70" i="25"/>
  <c r="C40" i="24"/>
  <c r="C28" i="24"/>
  <c r="C61" i="24"/>
  <c r="C70" i="24"/>
  <c r="C84" i="23"/>
  <c r="C70" i="23"/>
  <c r="C52" i="23"/>
  <c r="C61" i="23"/>
  <c r="C40" i="23"/>
  <c r="C72" i="23"/>
  <c r="C28" i="23"/>
  <c r="C40" i="22"/>
  <c r="C84" i="22"/>
  <c r="C70" i="22"/>
  <c r="C61" i="22"/>
  <c r="C52" i="22"/>
  <c r="C45" i="22"/>
  <c r="C47" i="22" s="1"/>
  <c r="C72" i="22"/>
  <c r="C45" i="21"/>
  <c r="C47" i="21" s="1"/>
  <c r="C40" i="21"/>
  <c r="C52" i="21"/>
  <c r="C72" i="21"/>
  <c r="C61" i="21"/>
  <c r="C70" i="21"/>
  <c r="C84" i="21"/>
  <c r="C28" i="21"/>
  <c r="C28" i="20"/>
  <c r="C83" i="5"/>
  <c r="C78" i="5"/>
  <c r="C25" i="5"/>
  <c r="C26" i="5"/>
  <c r="C27" i="5"/>
  <c r="C24" i="5"/>
  <c r="C61" i="20"/>
  <c r="C45" i="20"/>
  <c r="C47" i="20" s="1"/>
  <c r="C84" i="20"/>
  <c r="C72" i="20"/>
  <c r="C40" i="20"/>
  <c r="C70" i="20"/>
  <c r="C94" i="5"/>
  <c r="B47" i="5"/>
  <c r="B79" i="5" s="1"/>
  <c r="C79" i="5" s="1"/>
  <c r="B72" i="5"/>
  <c r="B82" i="5" s="1"/>
  <c r="C82" i="5" s="1"/>
  <c r="C74" i="24" l="1"/>
  <c r="C74" i="21"/>
  <c r="C28" i="5"/>
  <c r="C74" i="25"/>
  <c r="C74" i="23"/>
  <c r="C74" i="22"/>
  <c r="C74" i="20"/>
  <c r="B61" i="5"/>
  <c r="C71" i="5"/>
  <c r="C68" i="5"/>
  <c r="C64" i="5"/>
  <c r="C57" i="5"/>
  <c r="C55" i="5"/>
  <c r="C46" i="5"/>
  <c r="C43" i="5"/>
  <c r="C38" i="5"/>
  <c r="C34" i="5"/>
  <c r="C11" i="5"/>
  <c r="C37" i="5"/>
  <c r="C33" i="5"/>
  <c r="C111" i="5"/>
  <c r="C66" i="5"/>
  <c r="C56" i="5"/>
  <c r="C32" i="5"/>
  <c r="C67" i="5"/>
  <c r="C59" i="5"/>
  <c r="C50" i="5"/>
  <c r="C36" i="5"/>
  <c r="C69" i="5"/>
  <c r="C65" i="5"/>
  <c r="C60" i="5"/>
  <c r="C58" i="5"/>
  <c r="C51" i="5"/>
  <c r="C44" i="5"/>
  <c r="C39" i="5"/>
  <c r="C35" i="5"/>
  <c r="B84" i="5" l="1"/>
  <c r="B81" i="5"/>
  <c r="C81" i="5" s="1"/>
  <c r="B74" i="5"/>
  <c r="C52" i="5"/>
  <c r="C45" i="5"/>
  <c r="C47" i="5" s="1"/>
  <c r="C70" i="5"/>
  <c r="C61" i="5"/>
  <c r="C72" i="5"/>
  <c r="C40" i="5"/>
  <c r="C74" i="5" l="1"/>
  <c r="C84" i="5"/>
  <c r="B18" i="5"/>
  <c r="C18" i="5"/>
  <c r="C20" i="5"/>
  <c r="C86" i="5"/>
  <c r="C90" i="5"/>
  <c r="C91" i="5"/>
  <c r="C92" i="5"/>
  <c r="C98" i="5"/>
  <c r="C99" i="5"/>
  <c r="C100" i="5"/>
  <c r="C101" i="5"/>
  <c r="C102" i="5"/>
  <c r="C104" i="5"/>
  <c r="C105" i="5"/>
  <c r="C106" i="5"/>
  <c r="C109" i="5"/>
  <c r="C112" i="5"/>
  <c r="B18" i="20"/>
  <c r="C18" i="20"/>
  <c r="C20" i="20"/>
  <c r="C86" i="20"/>
  <c r="C90" i="20"/>
  <c r="C91" i="20"/>
  <c r="C92" i="20"/>
  <c r="C98" i="20"/>
  <c r="C99" i="20"/>
  <c r="C100" i="20"/>
  <c r="C101" i="20"/>
  <c r="C102" i="20"/>
  <c r="C104" i="20"/>
  <c r="C105" i="20"/>
  <c r="C106" i="20"/>
  <c r="C109" i="20"/>
  <c r="C112" i="20"/>
  <c r="B18" i="21"/>
  <c r="C18" i="21"/>
  <c r="C20" i="21"/>
  <c r="C86" i="21"/>
  <c r="C90" i="21"/>
  <c r="C91" i="21"/>
  <c r="C92" i="21"/>
  <c r="C98" i="21"/>
  <c r="C99" i="21"/>
  <c r="C100" i="21"/>
  <c r="C101" i="21"/>
  <c r="C102" i="21"/>
  <c r="C104" i="21"/>
  <c r="C105" i="21"/>
  <c r="C106" i="21"/>
  <c r="C109" i="21"/>
  <c r="C112" i="21"/>
  <c r="B18" i="22"/>
  <c r="C18" i="22"/>
  <c r="C20" i="22"/>
  <c r="C86" i="22"/>
  <c r="C90" i="22"/>
  <c r="C91" i="22"/>
  <c r="C92" i="22"/>
  <c r="C98" i="22"/>
  <c r="C99" i="22"/>
  <c r="C100" i="22"/>
  <c r="C101" i="22"/>
  <c r="C102" i="22"/>
  <c r="C104" i="22"/>
  <c r="C105" i="22"/>
  <c r="C106" i="22"/>
  <c r="C109" i="22"/>
  <c r="C112" i="22"/>
  <c r="B18" i="23"/>
  <c r="C18" i="23"/>
  <c r="C20" i="23"/>
  <c r="C86" i="23"/>
  <c r="C90" i="23"/>
  <c r="C91" i="23"/>
  <c r="C92" i="23"/>
  <c r="C98" i="23"/>
  <c r="C99" i="23"/>
  <c r="C100" i="23"/>
  <c r="C101" i="23"/>
  <c r="C102" i="23"/>
  <c r="C104" i="23"/>
  <c r="C105" i="23"/>
  <c r="C106" i="23"/>
  <c r="C109" i="23"/>
  <c r="C112" i="23"/>
  <c r="B18" i="24"/>
  <c r="C18" i="24"/>
  <c r="C20" i="24"/>
  <c r="C86" i="24"/>
  <c r="C90" i="24"/>
  <c r="C91" i="24"/>
  <c r="C92" i="24"/>
  <c r="C98" i="24"/>
  <c r="C99" i="24"/>
  <c r="C100" i="24"/>
  <c r="C101" i="24"/>
  <c r="C102" i="24"/>
  <c r="C104" i="24"/>
  <c r="C105" i="24"/>
  <c r="C106" i="24"/>
  <c r="C109" i="24"/>
  <c r="C112" i="24"/>
  <c r="B18" i="25"/>
  <c r="C18" i="25"/>
  <c r="C20" i="25"/>
  <c r="C86" i="25"/>
  <c r="C90" i="25"/>
  <c r="C91" i="25"/>
  <c r="C92" i="25"/>
  <c r="C98" i="25"/>
  <c r="C99" i="25"/>
  <c r="C100" i="25"/>
  <c r="C101" i="25"/>
  <c r="C102" i="25"/>
  <c r="C104" i="25"/>
  <c r="C105" i="25"/>
  <c r="C106" i="25"/>
  <c r="C109" i="25"/>
  <c r="C112" i="25"/>
  <c r="B18" i="26"/>
  <c r="C18" i="26"/>
  <c r="C20" i="26"/>
  <c r="C86" i="26"/>
  <c r="C90" i="26"/>
  <c r="C91" i="26"/>
  <c r="C92" i="26"/>
  <c r="C98" i="26"/>
  <c r="C99" i="26"/>
  <c r="C100" i="26"/>
  <c r="C101" i="26"/>
  <c r="C102" i="26"/>
  <c r="C104" i="26"/>
  <c r="C105" i="26"/>
  <c r="C106" i="26"/>
  <c r="C109" i="26"/>
  <c r="C112" i="26"/>
  <c r="B3" i="3"/>
  <c r="E3" i="3"/>
  <c r="F3" i="3"/>
  <c r="B4" i="3"/>
  <c r="E4" i="3"/>
  <c r="F4" i="3"/>
  <c r="B5" i="3"/>
  <c r="E5" i="3"/>
  <c r="F5" i="3"/>
  <c r="B6" i="3"/>
  <c r="E6" i="3"/>
  <c r="F6" i="3"/>
  <c r="B7" i="3"/>
  <c r="E7" i="3"/>
  <c r="F7" i="3"/>
  <c r="B8" i="3"/>
  <c r="E8" i="3"/>
  <c r="F8" i="3"/>
  <c r="B9" i="3"/>
  <c r="E9" i="3"/>
  <c r="F9" i="3"/>
  <c r="B10" i="3"/>
  <c r="E10" i="3"/>
  <c r="F10" i="3"/>
  <c r="B11" i="3"/>
  <c r="E11" i="3"/>
  <c r="F11" i="3"/>
  <c r="E12" i="3"/>
  <c r="B18" i="3"/>
  <c r="B21" i="3"/>
  <c r="B22" i="3"/>
</calcChain>
</file>

<file path=xl/sharedStrings.xml><?xml version="1.0" encoding="utf-8"?>
<sst xmlns="http://schemas.openxmlformats.org/spreadsheetml/2006/main" count="993" uniqueCount="161">
  <si>
    <t>PLANILHA DE COMPOSIÇÃO DE CUSTOS</t>
  </si>
  <si>
    <t>ORIENTAÇÕES</t>
  </si>
  <si>
    <t xml:space="preserve">Esta planilha tem como objetivo principal  permitir a análise da formação de preços relativos aos itens a serem contratados. 
A análise de viabilidade da proposta contemplará o esforço por perfil considerando os times ágeis, de forma que seja possível, através da produtividade declarada pela LICITANTE e dos demais encargos diretos e indiretos, tributos, benefícios e lucro, estabelecer se os valores ofertado pela LICITANTE é exequível de acordo com a realidade do mercado.
A composição dos times ágeis e o compartilhamento previsto de perfis profissionais foi considerado pela DTIC para o cálculo proporcional de cada profissional no time ágil.
A LICITANTE deverá preencher a planilha da seguinte forma: 
1) A guia "Dados da Empresa" com dados básicos da LICITANTE
2) As guias de 1 a 8 contém os perfis profissionais (mínimos) à operação. As guias devem ser preenchidas de forma a demonstrar a formação do custo dos salários brutos de cada perfil.
3) A guia "Custos do Time" deve incluir todos os salários brutos calculados nas guias de 1 a 8 do time, bem como custos adicionais estimados da operação (por time), tais como custo de transporte, hardware, software etc.
</t>
  </si>
  <si>
    <t>DADOS DA EMPRESA</t>
  </si>
  <si>
    <r>
      <t>N</t>
    </r>
    <r>
      <rPr>
        <b/>
        <strike/>
        <sz val="12"/>
        <color rgb="FF000000"/>
        <rFont val="Arial"/>
        <family val="2"/>
      </rPr>
      <t>º</t>
    </r>
    <r>
      <rPr>
        <b/>
        <sz val="12"/>
        <color rgb="FF000000"/>
        <rFont val="Arial"/>
        <family val="2"/>
      </rPr>
      <t xml:space="preserve"> Processo</t>
    </r>
  </si>
  <si>
    <r>
      <t>Licitação N</t>
    </r>
    <r>
      <rPr>
        <b/>
        <strike/>
        <sz val="12"/>
        <color rgb="FF000000"/>
        <rFont val="Arial"/>
        <family val="2"/>
      </rPr>
      <t xml:space="preserve">º </t>
    </r>
  </si>
  <si>
    <t xml:space="preserve">Data do Pregão: </t>
  </si>
  <si>
    <t>Empresa</t>
  </si>
  <si>
    <t>CNPJ</t>
  </si>
  <si>
    <t>Contato</t>
  </si>
  <si>
    <t>E-mail</t>
  </si>
  <si>
    <t>Telefone</t>
  </si>
  <si>
    <t>Item 1</t>
  </si>
  <si>
    <t>Evolução e Projeto de Sistemas</t>
  </si>
  <si>
    <t>Unidade de Medida</t>
  </si>
  <si>
    <t>Pontos de Função</t>
  </si>
  <si>
    <t>Volume Anual</t>
  </si>
  <si>
    <t>Item 2</t>
  </si>
  <si>
    <t>Sustentação de Sistemas e Serviços Técnicos Adicionais</t>
  </si>
  <si>
    <t>Unidade de Serviços Técnicos</t>
  </si>
  <si>
    <t>CUSTO BASE MENSAL DE TIME ÁGIL</t>
  </si>
  <si>
    <t>CUSTOS ADICIONAIS MENSAIS ESTIMADOS POR TIME</t>
  </si>
  <si>
    <t>Perfil profissional</t>
  </si>
  <si>
    <t>Custo Mensal</t>
  </si>
  <si>
    <t>Taxa de Alocação</t>
  </si>
  <si>
    <t>Alocação (horas)</t>
  </si>
  <si>
    <t>Custo Proporcional</t>
  </si>
  <si>
    <t>Custo/Hora</t>
  </si>
  <si>
    <t>Item de Custo</t>
  </si>
  <si>
    <t>Valor</t>
  </si>
  <si>
    <t>Desenvolvedor I (Senior)</t>
  </si>
  <si>
    <t>Custo com hardware e instalações físicas</t>
  </si>
  <si>
    <t>Desenvolvedor II (Pleno)</t>
  </si>
  <si>
    <t>Custo com Softwares</t>
  </si>
  <si>
    <t>Desenvolvedor III (Pleno)</t>
  </si>
  <si>
    <t>Custo com Riscos</t>
  </si>
  <si>
    <t>Analista de Requisitos/Estórias</t>
  </si>
  <si>
    <t>Custo com Garantia</t>
  </si>
  <si>
    <t>Arquiteto de Software</t>
  </si>
  <si>
    <t>Custo com transporte (Uber, Taxi etc)</t>
  </si>
  <si>
    <t>Líder de Projeto (ScrumMaster)</t>
  </si>
  <si>
    <t>Testador</t>
  </si>
  <si>
    <t>TOTAL</t>
  </si>
  <si>
    <t>Analista Devops</t>
  </si>
  <si>
    <t>Administrador (Projetista) de Dados</t>
  </si>
  <si>
    <t>PRODUTIVIDADE 
DECLARADA hh/PF</t>
  </si>
  <si>
    <t>TOTAL DE HORAS/TIME/MÊS</t>
  </si>
  <si>
    <t>PRODUTIVIDADE PF/MÊS</t>
  </si>
  <si>
    <t>CUSTO MENSAL/TIME</t>
  </si>
  <si>
    <t>VALORES MÍNIMOS PRESUMIDAMENTE EXEQUÍVEIS</t>
  </si>
  <si>
    <t>CUSTO MÉDIO/HORA (UST)</t>
  </si>
  <si>
    <t>VALOR DE REFERÊNCIA PARA O ITEM 2</t>
  </si>
  <si>
    <t>CUSTO PONTO DE FUNÇÃO</t>
  </si>
  <si>
    <t>VALOR DE REFERÊNCIA PARA O ITEM 1</t>
  </si>
  <si>
    <t>PERFIL PROFISSIONAL</t>
  </si>
  <si>
    <t>Líder de Projetos/ScrumMaster</t>
  </si>
  <si>
    <t>MÓDULO 1 : COMPOSIÇÃO DA REMUNERAÇÃO</t>
  </si>
  <si>
    <t>Remuneração e Reserva Técnica</t>
  </si>
  <si>
    <t>Percentual</t>
  </si>
  <si>
    <t>Valor em R$</t>
  </si>
  <si>
    <t>A - Salário Base</t>
  </si>
  <si>
    <t>B - Reserva Técnica sobre o Salário Base</t>
  </si>
  <si>
    <t>Total da Remuneração + Reserva Técnica</t>
  </si>
  <si>
    <t>Horas Trabalhadas no mês</t>
  </si>
  <si>
    <t>Custo por hora</t>
  </si>
  <si>
    <t>MÓDULO 2: BENEFÍCIOS MENSAIS E DIÁRIOS</t>
  </si>
  <si>
    <t>Insumos (valores serão distribuídos de acordo c/ quantitativo da mão-de-obra)</t>
  </si>
  <si>
    <t>A - Vale-transporte (fornecido conforme Lei 7.418 de 16/12/85)</t>
  </si>
  <si>
    <t>B - Vale-refeição (Auxílio Alimentação)</t>
  </si>
  <si>
    <t>C - Assistência médica</t>
  </si>
  <si>
    <t>D - Auxílio Creche</t>
  </si>
  <si>
    <t>E - Seguro de vida, invalidez e funeral</t>
  </si>
  <si>
    <t>Total dos Benefícios</t>
  </si>
  <si>
    <t>MÓDULO 3: INSUMOS DIVERSOS</t>
  </si>
  <si>
    <t>A - Uniformes/Identificação</t>
  </si>
  <si>
    <t>B - Software/Hardware</t>
  </si>
  <si>
    <t>D - Triênio (CCT SINDPD / 3% a cada 3 anos)</t>
  </si>
  <si>
    <t>Total dos Insumos</t>
  </si>
  <si>
    <t>MÓDULO 4: ENCARGOS SOCIAIS E TRABALHISTAS</t>
  </si>
  <si>
    <t>Submódulo 4.1 (Grupo A - Custos Previdenciários)</t>
  </si>
  <si>
    <t>A - INSS (incide sobre o faturamento - MP 540/2011, convertida na Lei 12.546/2011. MP 563/2012, convertida na Lei 12.715/2012. MP 612/2013.) Ver item 4 do Módulo 5</t>
  </si>
  <si>
    <t>B - SESI/SESC</t>
  </si>
  <si>
    <t>C - SENAI/SENAC</t>
  </si>
  <si>
    <t>D - INCRA</t>
  </si>
  <si>
    <t>E - Salário Educação</t>
  </si>
  <si>
    <t>F - FGTS</t>
  </si>
  <si>
    <t>G - Seguro Acidente de Trabalho</t>
  </si>
  <si>
    <t>H - SEBRAE</t>
  </si>
  <si>
    <t>Total do Submódulo 4.1</t>
  </si>
  <si>
    <t>Submódulo 4.2 (13º Salário e Adicional de Férias)</t>
  </si>
  <si>
    <t xml:space="preserve">A - 13 º Salário </t>
  </si>
  <si>
    <t>B - Adicional de Férias</t>
  </si>
  <si>
    <t>Subtotal</t>
  </si>
  <si>
    <t>C - Incidência do Submódulo 4.1 sobre 13º Salário e Adicional de Férias</t>
  </si>
  <si>
    <t>Total do Submódulo 4.2</t>
  </si>
  <si>
    <t>Submódulo 4.3 (Afastamento Maternidade)</t>
  </si>
  <si>
    <t>A - Afastamento maternidade/paternidade</t>
  </si>
  <si>
    <t>B - Incidência do submódulo 4.1 sobre afastamento maternidade</t>
  </si>
  <si>
    <t>Total do Submódulo 4.3</t>
  </si>
  <si>
    <t>Submódulo 4.4 (Provisão para Rescisão)</t>
  </si>
  <si>
    <t>A - Aviso prévio indenizado</t>
  </si>
  <si>
    <t>B - Incidência do FGTS sobre aviso prévio indenizado</t>
  </si>
  <si>
    <t>C - Multa do FGTS do aviso prévio indenizado</t>
  </si>
  <si>
    <t xml:space="preserve">D - Aviso prévio trabalhado </t>
  </si>
  <si>
    <t>E - Incidência do submódulo 4.1 sobre aviso prévio trabalhado</t>
  </si>
  <si>
    <t>F - Multa do FGTS do aviso prévio trabalhado</t>
  </si>
  <si>
    <t>Total do Submódulo 4.4</t>
  </si>
  <si>
    <t>Submódulo 4.5 (Composição do Custo de Reposição do Profissional Ausente)</t>
  </si>
  <si>
    <t>A - Férias</t>
  </si>
  <si>
    <t>B - Ausência por doença</t>
  </si>
  <si>
    <t>C - Licença paternidade</t>
  </si>
  <si>
    <t>D - Ausências legais</t>
  </si>
  <si>
    <t>E - Ausência por Acidente de trabalho</t>
  </si>
  <si>
    <t>F - Outros (especificar)</t>
  </si>
  <si>
    <t xml:space="preserve">C - Incidência do submódulo 4.1 sobre o Custo de reposição </t>
  </si>
  <si>
    <t>Total do Submódulo 4.5</t>
  </si>
  <si>
    <t>Total dos Encargos Sociais</t>
  </si>
  <si>
    <t>Quadro - resumo – Módulo 4 - Encargos sociais e trabalhistas</t>
  </si>
  <si>
    <t>Módulo 4 - Encargos sociais e trabalhistas</t>
  </si>
  <si>
    <t>4.1 - 13 º salário + Adicional de férias</t>
  </si>
  <si>
    <t>4.2 - Encargos previdenciários e FGTS</t>
  </si>
  <si>
    <t>4.3 - Afastamento maternidade</t>
  </si>
  <si>
    <t>4.4 - Custo de rescisão</t>
  </si>
  <si>
    <t>4.5 - Custo de reposição do profissional ausente</t>
  </si>
  <si>
    <t>4.6 - Outros (especificar)</t>
  </si>
  <si>
    <t>Total:</t>
  </si>
  <si>
    <t>Custos Diretos</t>
  </si>
  <si>
    <t>Módulo 5 – Custos indiretos e lucro</t>
  </si>
  <si>
    <t>Demais Componentes</t>
  </si>
  <si>
    <t>A - Despesas Administrativas/Operacionais</t>
  </si>
  <si>
    <t>C - Lucro Bruto</t>
  </si>
  <si>
    <t>Total dos Demais Componentes</t>
  </si>
  <si>
    <t>Demais Custos Diretos (Hardware, Software, Táxi, Uber, Garantia Contratual, etc)</t>
  </si>
  <si>
    <t>Módulo 5 – Tributos</t>
  </si>
  <si>
    <t>Tributos</t>
  </si>
  <si>
    <t>01 - ISS</t>
  </si>
  <si>
    <t>02 - PIS</t>
  </si>
  <si>
    <t>03 - COFINS</t>
  </si>
  <si>
    <t>04 - INSS (incide sobre o faturamento - MP 540/2011, convertida na Lei 12.546/2011. MP 563/2012, convertida na Lei 12.715/2012. MP 612/2013.)</t>
  </si>
  <si>
    <t>Total dos Tributos sobre o Faturamento</t>
  </si>
  <si>
    <t>Remuneração + Reserva Técnica + Encargos Sociais + Insumos + Demais Componentes</t>
  </si>
  <si>
    <t>Tributos sobre o Faturamento</t>
  </si>
  <si>
    <t>Total Geral</t>
  </si>
  <si>
    <t>QUADRO-RESUMO DO VALOR MENSAL DO SERVIÇO</t>
  </si>
  <si>
    <t>Total</t>
  </si>
  <si>
    <t>Fator K</t>
  </si>
  <si>
    <t>Valor Hora Por Empregado</t>
  </si>
  <si>
    <t>Produtividade Média (hh/PF)</t>
  </si>
  <si>
    <t>Desenvolvedor Sênior</t>
  </si>
  <si>
    <t>Desenvolvedor Pleno</t>
  </si>
  <si>
    <t>Analista de Requisitos/Estórias de Usuário</t>
  </si>
  <si>
    <t>Analista de Testes / Testador</t>
  </si>
  <si>
    <t>Administrador/Projetista de Dados</t>
  </si>
  <si>
    <t>Leasing de computadores e conectividades</t>
  </si>
  <si>
    <t>08006.000247/2020-30</t>
  </si>
  <si>
    <t>19/2020</t>
  </si>
  <si>
    <t>93.655.173/0001-29</t>
  </si>
  <si>
    <t>META SERVICOS EM INFORMATICA S/A</t>
  </si>
  <si>
    <t>Roberta Reinehr</t>
  </si>
  <si>
    <t>licitacoes@meta.com.br</t>
  </si>
  <si>
    <t>51 2101 1387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</si>
</sst>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* #,##0.00000_);_(* \(#,##0.00000\);_(* &quot;-&quot;??_);_(@_)"/>
    <numFmt numFmtId="168" formatCode="_(* #,##0_);_(* \(#,##0\);_(* &quot;-&quot;??_);_(@_)"/>
    <numFmt numFmtId="169" formatCode="&quot;R$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trike/>
      <sz val="12"/>
      <color rgb="FF000000"/>
      <name val="Arial"/>
      <family val="2"/>
    </font>
    <font>
      <u/>
      <sz val="10"/>
      <color theme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5" fillId="3" borderId="1" xfId="1" applyFont="1" applyFill="1" applyBorder="1" applyAlignment="1">
      <alignment horizontal="left" vertical="top" wrapText="1"/>
    </xf>
    <xf numFmtId="14" fontId="5" fillId="3" borderId="1" xfId="1" applyNumberFormat="1" applyFont="1" applyFill="1" applyBorder="1" applyAlignment="1">
      <alignment horizontal="left" vertical="top" wrapText="1"/>
    </xf>
    <xf numFmtId="0" fontId="0" fillId="0" borderId="1" xfId="0" applyBorder="1"/>
    <xf numFmtId="10" fontId="0" fillId="0" borderId="1" xfId="0" applyNumberFormat="1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2" fillId="5" borderId="1" xfId="0" applyFont="1" applyFill="1" applyBorder="1" applyAlignment="1">
      <alignment horizontal="center"/>
    </xf>
    <xf numFmtId="0" fontId="11" fillId="0" borderId="0" xfId="3" applyFont="1" applyFill="1" applyAlignment="1">
      <alignment vertical="center"/>
    </xf>
    <xf numFmtId="0" fontId="13" fillId="0" borderId="0" xfId="3" applyFont="1" applyFill="1" applyAlignment="1">
      <alignment vertical="center"/>
    </xf>
    <xf numFmtId="0" fontId="12" fillId="0" borderId="7" xfId="3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left" vertical="center" wrapText="1"/>
    </xf>
    <xf numFmtId="10" fontId="12" fillId="5" borderId="1" xfId="4" applyNumberFormat="1" applyFont="1" applyFill="1" applyBorder="1" applyAlignment="1">
      <alignment horizontal="center" vertical="center"/>
    </xf>
    <xf numFmtId="166" fontId="12" fillId="5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0" fontId="13" fillId="0" borderId="1" xfId="4" applyNumberFormat="1" applyFont="1" applyFill="1" applyBorder="1" applyAlignment="1">
      <alignment horizontal="center" vertical="center"/>
    </xf>
    <xf numFmtId="43" fontId="13" fillId="0" borderId="0" xfId="3" applyNumberFormat="1" applyFont="1" applyFill="1" applyAlignment="1">
      <alignment vertical="center"/>
    </xf>
    <xf numFmtId="0" fontId="13" fillId="0" borderId="9" xfId="3" applyFont="1" applyFill="1" applyBorder="1" applyAlignment="1">
      <alignment horizontal="left" vertical="center" wrapText="1"/>
    </xf>
    <xf numFmtId="166" fontId="13" fillId="0" borderId="2" xfId="6" applyFont="1" applyFill="1" applyBorder="1" applyAlignment="1">
      <alignment horizontal="center" vertical="center"/>
    </xf>
    <xf numFmtId="166" fontId="12" fillId="2" borderId="1" xfId="6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 wrapText="1"/>
    </xf>
    <xf numFmtId="166" fontId="13" fillId="0" borderId="0" xfId="6" applyFont="1" applyFill="1" applyBorder="1" applyAlignment="1">
      <alignment horizontal="center" vertical="center"/>
    </xf>
    <xf numFmtId="0" fontId="12" fillId="5" borderId="0" xfId="3" applyFont="1" applyFill="1" applyBorder="1" applyAlignment="1">
      <alignment horizontal="left" vertical="center" wrapText="1"/>
    </xf>
    <xf numFmtId="0" fontId="12" fillId="5" borderId="0" xfId="3" applyFont="1" applyFill="1" applyBorder="1" applyAlignment="1">
      <alignment horizontal="left" vertical="center"/>
    </xf>
    <xf numFmtId="166" fontId="12" fillId="5" borderId="0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vertical="center" wrapText="1"/>
    </xf>
    <xf numFmtId="10" fontId="13" fillId="0" borderId="1" xfId="3" quotePrefix="1" applyNumberFormat="1" applyFont="1" applyFill="1" applyBorder="1" applyAlignment="1">
      <alignment horizontal="center" vertical="center"/>
    </xf>
    <xf numFmtId="166" fontId="13" fillId="0" borderId="3" xfId="6" applyFont="1" applyFill="1" applyBorder="1" applyAlignment="1">
      <alignment horizontal="center" vertical="center"/>
    </xf>
    <xf numFmtId="166" fontId="13" fillId="0" borderId="0" xfId="6" applyFont="1" applyFill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10" fontId="13" fillId="0" borderId="0" xfId="3" applyNumberFormat="1" applyFont="1" applyFill="1" applyBorder="1" applyAlignment="1">
      <alignment vertical="center"/>
    </xf>
    <xf numFmtId="9" fontId="13" fillId="0" borderId="0" xfId="3" applyNumberFormat="1" applyFont="1" applyFill="1" applyBorder="1" applyAlignment="1">
      <alignment vertical="center"/>
    </xf>
    <xf numFmtId="166" fontId="12" fillId="2" borderId="1" xfId="6" applyNumberFormat="1" applyFont="1" applyFill="1" applyBorder="1" applyAlignment="1">
      <alignment horizontal="center" vertical="center"/>
    </xf>
    <xf numFmtId="9" fontId="15" fillId="0" borderId="0" xfId="3" applyNumberFormat="1" applyFont="1" applyFill="1" applyBorder="1" applyAlignment="1">
      <alignment horizontal="right" vertical="center"/>
    </xf>
    <xf numFmtId="165" fontId="13" fillId="0" borderId="0" xfId="5" applyFont="1" applyFill="1" applyBorder="1" applyAlignment="1">
      <alignment vertical="center"/>
    </xf>
    <xf numFmtId="0" fontId="13" fillId="0" borderId="0" xfId="3" applyFont="1" applyFill="1" applyBorder="1" applyAlignment="1">
      <alignment vertical="center" wrapText="1"/>
    </xf>
    <xf numFmtId="10" fontId="13" fillId="0" borderId="0" xfId="3" quotePrefix="1" applyNumberFormat="1" applyFont="1" applyFill="1" applyBorder="1" applyAlignment="1">
      <alignment horizontal="center" vertical="center"/>
    </xf>
    <xf numFmtId="166" fontId="13" fillId="0" borderId="0" xfId="6" applyNumberFormat="1" applyFont="1" applyFill="1" applyBorder="1" applyAlignment="1">
      <alignment horizontal="center" vertical="center"/>
    </xf>
    <xf numFmtId="0" fontId="12" fillId="5" borderId="5" xfId="3" applyFont="1" applyFill="1" applyBorder="1" applyAlignment="1">
      <alignment horizontal="left" vertical="center" wrapText="1"/>
    </xf>
    <xf numFmtId="10" fontId="12" fillId="5" borderId="11" xfId="4" applyNumberFormat="1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right" vertical="center"/>
    </xf>
    <xf numFmtId="166" fontId="13" fillId="0" borderId="0" xfId="3" applyNumberFormat="1" applyFont="1" applyFill="1" applyBorder="1" applyAlignment="1">
      <alignment vertical="center"/>
    </xf>
    <xf numFmtId="0" fontId="13" fillId="3" borderId="1" xfId="3" applyFont="1" applyFill="1" applyBorder="1" applyAlignment="1">
      <alignment horizontal="left" vertical="center" wrapText="1"/>
    </xf>
    <xf numFmtId="10" fontId="13" fillId="3" borderId="1" xfId="3" applyNumberFormat="1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vertical="center" wrapText="1"/>
    </xf>
    <xf numFmtId="10" fontId="13" fillId="3" borderId="1" xfId="3" quotePrefix="1" applyNumberFormat="1" applyFont="1" applyFill="1" applyBorder="1" applyAlignment="1">
      <alignment horizontal="center" vertical="center"/>
    </xf>
    <xf numFmtId="9" fontId="13" fillId="0" borderId="0" xfId="4" applyFont="1" applyFill="1" applyBorder="1" applyAlignment="1">
      <alignment vertical="center"/>
    </xf>
    <xf numFmtId="0" fontId="12" fillId="0" borderId="10" xfId="3" applyFont="1" applyFill="1" applyBorder="1" applyAlignment="1">
      <alignment horizontal="left" vertical="center" wrapText="1"/>
    </xf>
    <xf numFmtId="0" fontId="13" fillId="0" borderId="10" xfId="3" applyFont="1" applyFill="1" applyBorder="1" applyAlignment="1">
      <alignment horizontal="left" vertical="center"/>
    </xf>
    <xf numFmtId="166" fontId="12" fillId="0" borderId="10" xfId="6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 vertical="center"/>
    </xf>
    <xf numFmtId="0" fontId="13" fillId="3" borderId="3" xfId="3" applyFont="1" applyFill="1" applyBorder="1" applyAlignment="1">
      <alignment horizontal="left" vertical="center" wrapText="1"/>
    </xf>
    <xf numFmtId="10" fontId="13" fillId="3" borderId="3" xfId="4" applyNumberFormat="1" applyFont="1" applyFill="1" applyBorder="1" applyAlignment="1">
      <alignment horizontal="center" vertical="center"/>
    </xf>
    <xf numFmtId="10" fontId="13" fillId="0" borderId="0" xfId="4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left" vertical="center" wrapText="1"/>
    </xf>
    <xf numFmtId="10" fontId="13" fillId="0" borderId="3" xfId="4" applyNumberFormat="1" applyFont="1" applyFill="1" applyBorder="1" applyAlignment="1">
      <alignment horizontal="center" vertical="center"/>
    </xf>
    <xf numFmtId="166" fontId="13" fillId="0" borderId="1" xfId="6" applyFont="1" applyFill="1" applyBorder="1" applyAlignment="1">
      <alignment horizontal="center" vertical="center"/>
    </xf>
    <xf numFmtId="166" fontId="13" fillId="0" borderId="6" xfId="6" applyFont="1" applyFill="1" applyBorder="1" applyAlignment="1">
      <alignment horizontal="center" vertical="center"/>
    </xf>
    <xf numFmtId="166" fontId="12" fillId="5" borderId="1" xfId="6" applyNumberFormat="1" applyFont="1" applyFill="1" applyBorder="1" applyAlignment="1">
      <alignment horizontal="center" vertical="center"/>
    </xf>
    <xf numFmtId="0" fontId="12" fillId="0" borderId="11" xfId="3" applyFont="1" applyFill="1" applyBorder="1" applyAlignment="1">
      <alignment horizontal="left" vertical="center" wrapText="1"/>
    </xf>
    <xf numFmtId="10" fontId="12" fillId="0" borderId="0" xfId="4" applyNumberFormat="1" applyFont="1" applyFill="1" applyBorder="1" applyAlignment="1">
      <alignment horizontal="center" vertical="center"/>
    </xf>
    <xf numFmtId="166" fontId="12" fillId="0" borderId="0" xfId="6" applyNumberFormat="1" applyFont="1" applyFill="1" applyBorder="1" applyAlignment="1">
      <alignment horizontal="center" vertical="center"/>
    </xf>
    <xf numFmtId="10" fontId="12" fillId="5" borderId="9" xfId="4" applyNumberFormat="1" applyFont="1" applyFill="1" applyBorder="1" applyAlignment="1">
      <alignment horizontal="center" vertical="center"/>
    </xf>
    <xf numFmtId="0" fontId="13" fillId="0" borderId="1" xfId="3" applyFont="1" applyBorder="1" applyAlignment="1">
      <alignment horizontal="justify" vertical="top" wrapText="1"/>
    </xf>
    <xf numFmtId="166" fontId="13" fillId="0" borderId="12" xfId="6" applyFont="1" applyFill="1" applyBorder="1" applyAlignment="1">
      <alignment horizontal="center" vertical="center"/>
    </xf>
    <xf numFmtId="9" fontId="13" fillId="0" borderId="0" xfId="3" applyNumberFormat="1" applyFont="1" applyFill="1" applyAlignment="1">
      <alignment vertical="center"/>
    </xf>
    <xf numFmtId="166" fontId="12" fillId="0" borderId="1" xfId="6" applyFont="1" applyFill="1" applyBorder="1" applyAlignment="1">
      <alignment horizontal="center" vertical="center"/>
    </xf>
    <xf numFmtId="0" fontId="13" fillId="0" borderId="1" xfId="3" applyFont="1" applyBorder="1" applyAlignment="1">
      <alignment horizontal="left" vertical="top" wrapText="1"/>
    </xf>
    <xf numFmtId="10" fontId="13" fillId="0" borderId="0" xfId="3" applyNumberFormat="1" applyFont="1" applyFill="1" applyAlignment="1">
      <alignment vertical="center"/>
    </xf>
    <xf numFmtId="10" fontId="13" fillId="0" borderId="7" xfId="4" applyNumberFormat="1" applyFont="1" applyFill="1" applyBorder="1" applyAlignment="1">
      <alignment horizontal="center" vertical="center"/>
    </xf>
    <xf numFmtId="10" fontId="13" fillId="0" borderId="0" xfId="4" applyNumberFormat="1" applyFont="1" applyFill="1" applyBorder="1" applyAlignment="1">
      <alignment horizontal="left" vertical="center"/>
    </xf>
    <xf numFmtId="0" fontId="12" fillId="0" borderId="10" xfId="3" applyFont="1" applyFill="1" applyBorder="1" applyAlignment="1">
      <alignment vertical="center" wrapText="1"/>
    </xf>
    <xf numFmtId="10" fontId="12" fillId="0" borderId="10" xfId="4" applyNumberFormat="1" applyFont="1" applyFill="1" applyBorder="1" applyAlignment="1">
      <alignment horizontal="center" vertical="center"/>
    </xf>
    <xf numFmtId="166" fontId="12" fillId="0" borderId="10" xfId="6" applyNumberFormat="1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vertical="center" wrapText="1"/>
    </xf>
    <xf numFmtId="0" fontId="12" fillId="0" borderId="8" xfId="3" applyFont="1" applyFill="1" applyBorder="1" applyAlignment="1">
      <alignment horizontal="left" vertical="center"/>
    </xf>
    <xf numFmtId="0" fontId="12" fillId="5" borderId="3" xfId="3" applyFont="1" applyFill="1" applyBorder="1" applyAlignment="1">
      <alignment horizontal="left" vertical="center" wrapText="1"/>
    </xf>
    <xf numFmtId="166" fontId="12" fillId="5" borderId="6" xfId="6" applyFont="1" applyFill="1" applyBorder="1" applyAlignment="1">
      <alignment horizontal="center" vertical="center"/>
    </xf>
    <xf numFmtId="166" fontId="13" fillId="0" borderId="1" xfId="6" quotePrefix="1" applyFont="1" applyFill="1" applyBorder="1" applyAlignment="1">
      <alignment horizontal="center" vertical="center"/>
    </xf>
    <xf numFmtId="167" fontId="13" fillId="0" borderId="0" xfId="3" applyNumberFormat="1" applyFont="1" applyFill="1" applyAlignment="1">
      <alignment vertical="center"/>
    </xf>
    <xf numFmtId="0" fontId="13" fillId="3" borderId="9" xfId="3" applyFont="1" applyFill="1" applyBorder="1" applyAlignment="1">
      <alignment horizontal="left" vertical="center" wrapText="1"/>
    </xf>
    <xf numFmtId="166" fontId="13" fillId="3" borderId="1" xfId="6" quotePrefix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vertical="center" wrapText="1"/>
    </xf>
    <xf numFmtId="10" fontId="12" fillId="2" borderId="1" xfId="3" applyNumberFormat="1" applyFont="1" applyFill="1" applyBorder="1" applyAlignment="1">
      <alignment horizontal="center" vertical="center"/>
    </xf>
    <xf numFmtId="166" fontId="12" fillId="2" borderId="1" xfId="6" quotePrefix="1" applyFont="1" applyFill="1" applyBorder="1" applyAlignment="1">
      <alignment horizontal="center" vertical="center"/>
    </xf>
    <xf numFmtId="168" fontId="13" fillId="0" borderId="0" xfId="6" applyNumberFormat="1" applyFont="1" applyFill="1" applyAlignment="1">
      <alignment vertical="center"/>
    </xf>
    <xf numFmtId="0" fontId="12" fillId="0" borderId="8" xfId="3" applyFont="1" applyFill="1" applyBorder="1" applyAlignment="1">
      <alignment vertical="center" wrapText="1"/>
    </xf>
    <xf numFmtId="10" fontId="12" fillId="0" borderId="8" xfId="3" applyNumberFormat="1" applyFont="1" applyFill="1" applyBorder="1" applyAlignment="1">
      <alignment horizontal="center" vertical="center"/>
    </xf>
    <xf numFmtId="166" fontId="12" fillId="0" borderId="8" xfId="6" applyFont="1" applyFill="1" applyBorder="1" applyAlignment="1">
      <alignment horizontal="center" vertical="center"/>
    </xf>
    <xf numFmtId="166" fontId="12" fillId="5" borderId="12" xfId="4" applyNumberFormat="1" applyFont="1" applyFill="1" applyBorder="1" applyAlignment="1">
      <alignment horizontal="right" vertical="center"/>
    </xf>
    <xf numFmtId="0" fontId="12" fillId="0" borderId="0" xfId="3" applyFont="1" applyFill="1" applyBorder="1" applyAlignment="1">
      <alignment horizontal="left" vertical="center" wrapText="1"/>
    </xf>
    <xf numFmtId="166" fontId="12" fillId="0" borderId="0" xfId="6" applyFont="1" applyFill="1" applyBorder="1" applyAlignment="1">
      <alignment horizontal="center" vertical="center"/>
    </xf>
    <xf numFmtId="0" fontId="13" fillId="0" borderId="0" xfId="3" applyFont="1" applyFill="1" applyAlignment="1">
      <alignment vertical="center" wrapText="1"/>
    </xf>
    <xf numFmtId="10" fontId="13" fillId="0" borderId="0" xfId="4" applyNumberFormat="1" applyFont="1" applyFill="1" applyAlignment="1">
      <alignment vertical="center"/>
    </xf>
    <xf numFmtId="166" fontId="13" fillId="0" borderId="0" xfId="6" applyFont="1" applyFill="1" applyAlignment="1">
      <alignment vertical="center"/>
    </xf>
    <xf numFmtId="166" fontId="12" fillId="5" borderId="3" xfId="6" applyFont="1" applyFill="1" applyBorder="1" applyAlignment="1">
      <alignment horizontal="center" vertical="center"/>
    </xf>
    <xf numFmtId="166" fontId="14" fillId="0" borderId="3" xfId="6" applyFont="1" applyFill="1" applyBorder="1" applyAlignment="1" applyProtection="1">
      <alignment horizontal="center" vertical="center"/>
    </xf>
    <xf numFmtId="166" fontId="12" fillId="2" borderId="3" xfId="6" applyNumberFormat="1" applyFont="1" applyFill="1" applyBorder="1" applyAlignment="1">
      <alignment horizontal="center" vertical="center"/>
    </xf>
    <xf numFmtId="166" fontId="12" fillId="5" borderId="11" xfId="6" applyFont="1" applyFill="1" applyBorder="1" applyAlignment="1">
      <alignment horizontal="center" vertical="center"/>
    </xf>
    <xf numFmtId="166" fontId="13" fillId="3" borderId="3" xfId="6" applyFont="1" applyFill="1" applyBorder="1" applyAlignment="1">
      <alignment horizontal="center" vertical="center"/>
    </xf>
    <xf numFmtId="0" fontId="2" fillId="0" borderId="0" xfId="3" applyFont="1" applyFill="1" applyBorder="1" applyAlignment="1">
      <alignment vertical="center"/>
    </xf>
    <xf numFmtId="2" fontId="2" fillId="0" borderId="0" xfId="3" applyNumberFormat="1" applyFont="1" applyFill="1" applyBorder="1" applyAlignment="1">
      <alignment vertical="center"/>
    </xf>
    <xf numFmtId="9" fontId="13" fillId="0" borderId="0" xfId="3" applyNumberFormat="1" applyFont="1" applyFill="1" applyBorder="1" applyAlignment="1">
      <alignment horizontal="center" vertical="center"/>
    </xf>
    <xf numFmtId="166" fontId="2" fillId="0" borderId="0" xfId="6" applyFont="1" applyFill="1" applyBorder="1" applyAlignment="1">
      <alignment vertical="center"/>
    </xf>
    <xf numFmtId="40" fontId="14" fillId="0" borderId="0" xfId="3" applyNumberFormat="1" applyFont="1" applyFill="1" applyBorder="1" applyAlignment="1" applyProtection="1">
      <alignment horizontal="right" vertical="center"/>
    </xf>
    <xf numFmtId="165" fontId="15" fillId="0" borderId="0" xfId="5" applyFont="1" applyFill="1" applyBorder="1" applyAlignment="1">
      <alignment vertical="center"/>
    </xf>
    <xf numFmtId="166" fontId="13" fillId="0" borderId="0" xfId="6" applyNumberFormat="1" applyFont="1" applyFill="1" applyBorder="1" applyAlignment="1">
      <alignment vertical="center"/>
    </xf>
    <xf numFmtId="166" fontId="12" fillId="6" borderId="1" xfId="6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0" fontId="11" fillId="2" borderId="1" xfId="0" applyFont="1" applyFill="1" applyBorder="1" applyAlignment="1">
      <alignment wrapText="1"/>
    </xf>
    <xf numFmtId="164" fontId="3" fillId="8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Border="1"/>
    <xf numFmtId="164" fontId="2" fillId="0" borderId="0" xfId="0" applyNumberFormat="1" applyFont="1" applyBorder="1" applyAlignment="1">
      <alignment vertical="center"/>
    </xf>
    <xf numFmtId="0" fontId="0" fillId="7" borderId="0" xfId="0" applyFill="1" applyBorder="1"/>
    <xf numFmtId="0" fontId="0" fillId="2" borderId="0" xfId="0" applyFill="1" applyBorder="1"/>
    <xf numFmtId="0" fontId="5" fillId="8" borderId="1" xfId="1" applyFont="1" applyFill="1" applyBorder="1" applyAlignment="1">
      <alignment vertical="center" wrapText="1"/>
    </xf>
    <xf numFmtId="0" fontId="5" fillId="8" borderId="1" xfId="1" applyFont="1" applyFill="1" applyBorder="1" applyAlignment="1">
      <alignment horizontal="left" vertical="center" wrapText="1"/>
    </xf>
    <xf numFmtId="0" fontId="5" fillId="8" borderId="1" xfId="1" applyFont="1" applyFill="1" applyBorder="1" applyAlignment="1">
      <alignment horizontal="justify" vertical="center" wrapText="1"/>
    </xf>
    <xf numFmtId="0" fontId="9" fillId="8" borderId="1" xfId="1" applyFont="1" applyFill="1" applyBorder="1" applyAlignment="1">
      <alignment horizontal="right" vertical="center" wrapText="1"/>
    </xf>
    <xf numFmtId="0" fontId="5" fillId="9" borderId="1" xfId="1" applyFont="1" applyFill="1" applyBorder="1" applyAlignment="1">
      <alignment horizontal="left" vertical="center" wrapText="1"/>
    </xf>
    <xf numFmtId="0" fontId="9" fillId="9" borderId="1" xfId="1" applyFont="1" applyFill="1" applyBorder="1" applyAlignment="1">
      <alignment horizontal="left" vertical="center" wrapText="1"/>
    </xf>
    <xf numFmtId="3" fontId="9" fillId="9" borderId="1" xfId="1" applyNumberFormat="1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wrapText="1"/>
    </xf>
    <xf numFmtId="164" fontId="3" fillId="3" borderId="0" xfId="0" applyNumberFormat="1" applyFont="1" applyFill="1" applyBorder="1"/>
    <xf numFmtId="0" fontId="16" fillId="11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43" fontId="13" fillId="0" borderId="0" xfId="3" applyNumberFormat="1" applyFont="1" applyFill="1" applyAlignment="1">
      <alignment horizontal="center" vertical="center"/>
    </xf>
    <xf numFmtId="0" fontId="13" fillId="0" borderId="0" xfId="3" applyFont="1" applyFill="1" applyAlignment="1">
      <alignment horizontal="center" vertical="center"/>
    </xf>
    <xf numFmtId="0" fontId="12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10" fontId="13" fillId="0" borderId="1" xfId="3" quotePrefix="1" applyNumberFormat="1" applyFont="1" applyBorder="1" applyAlignment="1">
      <alignment horizontal="center" vertical="center"/>
    </xf>
    <xf numFmtId="10" fontId="18" fillId="3" borderId="1" xfId="8" applyNumberFormat="1" applyFont="1" applyFill="1" applyBorder="1" applyAlignment="1">
      <alignment horizontal="center" vertical="center" wrapText="1"/>
    </xf>
    <xf numFmtId="44" fontId="0" fillId="0" borderId="1" xfId="7" applyFont="1" applyBorder="1" applyAlignment="1">
      <alignment horizontal="right" vertical="center"/>
    </xf>
    <xf numFmtId="44" fontId="0" fillId="0" borderId="0" xfId="7" applyFont="1"/>
    <xf numFmtId="2" fontId="3" fillId="4" borderId="1" xfId="0" applyNumberFormat="1" applyFont="1" applyFill="1" applyBorder="1" applyAlignment="1">
      <alignment vertical="center"/>
    </xf>
    <xf numFmtId="2" fontId="3" fillId="8" borderId="1" xfId="0" applyNumberFormat="1" applyFont="1" applyFill="1" applyBorder="1" applyAlignment="1">
      <alignment vertical="center"/>
    </xf>
    <xf numFmtId="164" fontId="3" fillId="8" borderId="1" xfId="0" applyNumberFormat="1" applyFont="1" applyFill="1" applyBorder="1" applyAlignment="1">
      <alignment vertical="center"/>
    </xf>
    <xf numFmtId="44" fontId="13" fillId="0" borderId="0" xfId="7" applyFont="1" applyFill="1" applyAlignment="1">
      <alignment vertical="center"/>
    </xf>
    <xf numFmtId="0" fontId="7" fillId="3" borderId="1" xfId="2" applyFill="1" applyBorder="1" applyAlignment="1">
      <alignment horizontal="left" vertical="top" wrapText="1"/>
    </xf>
    <xf numFmtId="44" fontId="0" fillId="0" borderId="0" xfId="0" applyNumberFormat="1"/>
    <xf numFmtId="169" fontId="0" fillId="0" borderId="0" xfId="0" applyNumberFormat="1"/>
    <xf numFmtId="44" fontId="0" fillId="0" borderId="0" xfId="7" applyFont="1" applyAlignment="1">
      <alignment horizontal="right"/>
    </xf>
    <xf numFmtId="10" fontId="0" fillId="0" borderId="0" xfId="8" applyNumberFormat="1" applyFont="1"/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wrapText="1"/>
    </xf>
    <xf numFmtId="0" fontId="12" fillId="5" borderId="1" xfId="3" applyFont="1" applyFill="1" applyBorder="1" applyAlignment="1">
      <alignment horizontal="left" vertical="center"/>
    </xf>
    <xf numFmtId="0" fontId="12" fillId="5" borderId="3" xfId="3" applyFont="1" applyFill="1" applyBorder="1" applyAlignment="1">
      <alignment horizontal="left" vertical="center"/>
    </xf>
    <xf numFmtId="0" fontId="12" fillId="5" borderId="2" xfId="3" applyFont="1" applyFill="1" applyBorder="1" applyAlignment="1">
      <alignment horizontal="left" vertical="center"/>
    </xf>
    <xf numFmtId="0" fontId="12" fillId="2" borderId="3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left" vertical="center"/>
    </xf>
    <xf numFmtId="0" fontId="12" fillId="5" borderId="5" xfId="3" applyFont="1" applyFill="1" applyBorder="1" applyAlignment="1">
      <alignment horizontal="left" vertical="center"/>
    </xf>
    <xf numFmtId="0" fontId="12" fillId="5" borderId="4" xfId="3" applyFont="1" applyFill="1" applyBorder="1" applyAlignment="1">
      <alignment horizontal="left" vertical="center"/>
    </xf>
    <xf numFmtId="0" fontId="12" fillId="2" borderId="1" xfId="3" applyFont="1" applyFill="1" applyBorder="1" applyAlignment="1">
      <alignment horizontal="center" vertical="center"/>
    </xf>
    <xf numFmtId="43" fontId="13" fillId="0" borderId="0" xfId="3" applyNumberFormat="1" applyFont="1" applyFill="1" applyAlignment="1">
      <alignment horizontal="center" vertical="center"/>
    </xf>
    <xf numFmtId="0" fontId="13" fillId="0" borderId="0" xfId="3" applyFont="1" applyFill="1" applyAlignment="1">
      <alignment horizontal="center" vertical="center"/>
    </xf>
    <xf numFmtId="0" fontId="12" fillId="2" borderId="3" xfId="3" applyFont="1" applyFill="1" applyBorder="1" applyAlignment="1">
      <alignment horizontal="left" vertical="center"/>
    </xf>
    <xf numFmtId="0" fontId="12" fillId="2" borderId="2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12" fillId="5" borderId="5" xfId="3" applyFont="1" applyFill="1" applyBorder="1" applyAlignment="1">
      <alignment horizontal="right" vertical="top" wrapText="1"/>
    </xf>
    <xf numFmtId="0" fontId="12" fillId="5" borderId="2" xfId="3" applyFont="1" applyFill="1" applyBorder="1" applyAlignment="1">
      <alignment horizontal="right" vertical="top" wrapText="1"/>
    </xf>
    <xf numFmtId="0" fontId="13" fillId="2" borderId="2" xfId="3" applyFont="1" applyFill="1" applyBorder="1" applyAlignment="1">
      <alignment horizontal="left" vertical="center"/>
    </xf>
    <xf numFmtId="0" fontId="12" fillId="2" borderId="9" xfId="3" applyFont="1" applyFill="1" applyBorder="1" applyAlignment="1">
      <alignment horizontal="center" vertical="center"/>
    </xf>
    <xf numFmtId="0" fontId="12" fillId="2" borderId="10" xfId="3" applyFont="1" applyFill="1" applyBorder="1" applyAlignment="1">
      <alignment horizontal="center" vertical="center"/>
    </xf>
    <xf numFmtId="0" fontId="11" fillId="4" borderId="1" xfId="3" quotePrefix="1" applyFont="1" applyFill="1" applyBorder="1" applyAlignment="1">
      <alignment horizontal="center" vertical="center" wrapText="1"/>
    </xf>
    <xf numFmtId="10" fontId="12" fillId="3" borderId="1" xfId="3" applyNumberFormat="1" applyFont="1" applyFill="1" applyBorder="1" applyAlignment="1">
      <alignment horizontal="center" vertical="center" wrapText="1"/>
    </xf>
    <xf numFmtId="0" fontId="12" fillId="5" borderId="3" xfId="3" applyFont="1" applyFill="1" applyBorder="1" applyAlignment="1">
      <alignment horizontal="right" vertical="top" wrapText="1"/>
    </xf>
  </cellXfs>
  <cellStyles count="9">
    <cellStyle name="Hiperlink" xfId="2" builtinId="8"/>
    <cellStyle name="Moeda" xfId="7" builtinId="4"/>
    <cellStyle name="Moeda 2" xfId="5" xr:uid="{00000000-0005-0000-0000-000001000000}"/>
    <cellStyle name="Normal" xfId="0" builtinId="0"/>
    <cellStyle name="Normal 2" xfId="3" xr:uid="{00000000-0005-0000-0000-000003000000}"/>
    <cellStyle name="Normal 4" xfId="1" xr:uid="{00000000-0005-0000-0000-000004000000}"/>
    <cellStyle name="Porcentagem" xfId="8" builtinId="5"/>
    <cellStyle name="Porcentagem 2" xfId="4" xr:uid="{00000000-0005-0000-0000-000005000000}"/>
    <cellStyle name="Vírgula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8</xdr:row>
      <xdr:rowOff>238125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8A5C855-1815-49C0-AA88-FC0A13A5FAB0}"/>
            </a:ext>
            <a:ext uri="{147F2762-F138-4A5C-976F-8EAC2B608ADB}">
              <a16:predDERef xmlns:a16="http://schemas.microsoft.com/office/drawing/2014/main" pred="{F5A30157-4E55-4656-B95C-AB860DF85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29300" cy="176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11</xdr:row>
      <xdr:rowOff>314325</xdr:rowOff>
    </xdr:from>
    <xdr:to>
      <xdr:col>8</xdr:col>
      <xdr:colOff>247650</xdr:colOff>
      <xdr:row>19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FBBC502-F035-4FCD-9897-F07F130A3915}"/>
            </a:ext>
          </a:extLst>
        </xdr:cNvPr>
        <xdr:cNvSpPr txBox="1"/>
      </xdr:nvSpPr>
      <xdr:spPr>
        <a:xfrm>
          <a:off x="7296150" y="2609850"/>
          <a:ext cx="4705350" cy="201930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pt-BR" sz="1200"/>
            <a:t>ERROS IDENTIFICADOS NO TEMPLATE</a:t>
          </a:r>
        </a:p>
        <a:p>
          <a:endParaRPr lang="pt-BR" sz="1200"/>
        </a:p>
        <a:p>
          <a:r>
            <a:rPr lang="pt-BR" sz="1200"/>
            <a:t>. Referente ao Analista Devops, a Célula B10 faz referência a célula '6'!$C$109 enquanto deveria ser para a célula '8'!$C$109;</a:t>
          </a:r>
        </a:p>
        <a:p>
          <a:endParaRPr lang="pt-BR" sz="1200"/>
        </a:p>
        <a:p>
          <a:r>
            <a:rPr lang="pt-BR" sz="1200"/>
            <a:t>. A célula B18, referente ao CUSTO MENSAL/TIME, soma o "Custo Proporcional" do time Ágil aos "Custos adicionais mensais estimados por time" erroneamente, já que estes já estão inseridos e contabilizados nos custos por profissional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licitacoes@meta.com.b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J35"/>
  <sheetViews>
    <sheetView workbookViewId="0">
      <selection activeCell="A12" sqref="A12:J12"/>
    </sheetView>
  </sheetViews>
  <sheetFormatPr defaultColWidth="8.85546875" defaultRowHeight="15" x14ac:dyDescent="0.25"/>
  <cols>
    <col min="1" max="9" width="8.85546875" style="118"/>
    <col min="10" max="10" width="8" style="118" customWidth="1"/>
    <col min="11" max="16384" width="8.85546875" style="118"/>
  </cols>
  <sheetData>
    <row r="9" spans="1:10" ht="20.25" customHeight="1" x14ac:dyDescent="0.25"/>
    <row r="10" spans="1:10" ht="18.75" x14ac:dyDescent="0.3">
      <c r="A10" s="159" t="s">
        <v>0</v>
      </c>
      <c r="B10" s="159"/>
      <c r="C10" s="159"/>
      <c r="D10" s="159"/>
      <c r="E10" s="159"/>
      <c r="F10" s="159"/>
      <c r="G10" s="159"/>
      <c r="H10" s="159"/>
      <c r="I10" s="159"/>
      <c r="J10" s="159"/>
    </row>
    <row r="11" spans="1:10" ht="18.75" x14ac:dyDescent="0.3">
      <c r="A11" s="160" t="s">
        <v>1</v>
      </c>
      <c r="B11" s="160"/>
      <c r="C11" s="160"/>
      <c r="D11" s="160"/>
      <c r="E11" s="160"/>
      <c r="F11" s="160"/>
      <c r="G11" s="160"/>
      <c r="H11" s="160"/>
      <c r="I11" s="160"/>
      <c r="J11" s="160"/>
    </row>
    <row r="12" spans="1:10" x14ac:dyDescent="0.25">
      <c r="A12" s="161"/>
      <c r="B12" s="161"/>
      <c r="C12" s="161"/>
      <c r="D12" s="161"/>
      <c r="E12" s="161"/>
      <c r="F12" s="161"/>
      <c r="G12" s="161"/>
      <c r="H12" s="161"/>
      <c r="I12" s="161"/>
      <c r="J12" s="161"/>
    </row>
    <row r="13" spans="1:10" ht="15" customHeight="1" x14ac:dyDescent="0.25">
      <c r="A13" s="150" t="s">
        <v>2</v>
      </c>
      <c r="B13" s="151"/>
      <c r="C13" s="151"/>
      <c r="D13" s="151"/>
      <c r="E13" s="151"/>
      <c r="F13" s="151"/>
      <c r="G13" s="151"/>
      <c r="H13" s="151"/>
      <c r="I13" s="151"/>
      <c r="J13" s="152"/>
    </row>
    <row r="14" spans="1:10" x14ac:dyDescent="0.25">
      <c r="A14" s="153"/>
      <c r="B14" s="154"/>
      <c r="C14" s="154"/>
      <c r="D14" s="154"/>
      <c r="E14" s="154"/>
      <c r="F14" s="154"/>
      <c r="G14" s="154"/>
      <c r="H14" s="154"/>
      <c r="I14" s="154"/>
      <c r="J14" s="155"/>
    </row>
    <row r="15" spans="1:10" x14ac:dyDescent="0.25">
      <c r="A15" s="153"/>
      <c r="B15" s="154"/>
      <c r="C15" s="154"/>
      <c r="D15" s="154"/>
      <c r="E15" s="154"/>
      <c r="F15" s="154"/>
      <c r="G15" s="154"/>
      <c r="H15" s="154"/>
      <c r="I15" s="154"/>
      <c r="J15" s="155"/>
    </row>
    <row r="16" spans="1:10" x14ac:dyDescent="0.25">
      <c r="A16" s="153"/>
      <c r="B16" s="154"/>
      <c r="C16" s="154"/>
      <c r="D16" s="154"/>
      <c r="E16" s="154"/>
      <c r="F16" s="154"/>
      <c r="G16" s="154"/>
      <c r="H16" s="154"/>
      <c r="I16" s="154"/>
      <c r="J16" s="155"/>
    </row>
    <row r="17" spans="1:10" x14ac:dyDescent="0.25">
      <c r="A17" s="153"/>
      <c r="B17" s="154"/>
      <c r="C17" s="154"/>
      <c r="D17" s="154"/>
      <c r="E17" s="154"/>
      <c r="F17" s="154"/>
      <c r="G17" s="154"/>
      <c r="H17" s="154"/>
      <c r="I17" s="154"/>
      <c r="J17" s="155"/>
    </row>
    <row r="18" spans="1:10" x14ac:dyDescent="0.25">
      <c r="A18" s="153"/>
      <c r="B18" s="154"/>
      <c r="C18" s="154"/>
      <c r="D18" s="154"/>
      <c r="E18" s="154"/>
      <c r="F18" s="154"/>
      <c r="G18" s="154"/>
      <c r="H18" s="154"/>
      <c r="I18" s="154"/>
      <c r="J18" s="155"/>
    </row>
    <row r="19" spans="1:10" x14ac:dyDescent="0.25">
      <c r="A19" s="153"/>
      <c r="B19" s="154"/>
      <c r="C19" s="154"/>
      <c r="D19" s="154"/>
      <c r="E19" s="154"/>
      <c r="F19" s="154"/>
      <c r="G19" s="154"/>
      <c r="H19" s="154"/>
      <c r="I19" s="154"/>
      <c r="J19" s="155"/>
    </row>
    <row r="20" spans="1:10" x14ac:dyDescent="0.25">
      <c r="A20" s="153"/>
      <c r="B20" s="154"/>
      <c r="C20" s="154"/>
      <c r="D20" s="154"/>
      <c r="E20" s="154"/>
      <c r="F20" s="154"/>
      <c r="G20" s="154"/>
      <c r="H20" s="154"/>
      <c r="I20" s="154"/>
      <c r="J20" s="155"/>
    </row>
    <row r="21" spans="1:10" x14ac:dyDescent="0.25">
      <c r="A21" s="153"/>
      <c r="B21" s="154"/>
      <c r="C21" s="154"/>
      <c r="D21" s="154"/>
      <c r="E21" s="154"/>
      <c r="F21" s="154"/>
      <c r="G21" s="154"/>
      <c r="H21" s="154"/>
      <c r="I21" s="154"/>
      <c r="J21" s="155"/>
    </row>
    <row r="22" spans="1:10" x14ac:dyDescent="0.25">
      <c r="A22" s="153"/>
      <c r="B22" s="154"/>
      <c r="C22" s="154"/>
      <c r="D22" s="154"/>
      <c r="E22" s="154"/>
      <c r="F22" s="154"/>
      <c r="G22" s="154"/>
      <c r="H22" s="154"/>
      <c r="I22" s="154"/>
      <c r="J22" s="155"/>
    </row>
    <row r="23" spans="1:10" x14ac:dyDescent="0.25">
      <c r="A23" s="153"/>
      <c r="B23" s="154"/>
      <c r="C23" s="154"/>
      <c r="D23" s="154"/>
      <c r="E23" s="154"/>
      <c r="F23" s="154"/>
      <c r="G23" s="154"/>
      <c r="H23" s="154"/>
      <c r="I23" s="154"/>
      <c r="J23" s="155"/>
    </row>
    <row r="24" spans="1:10" x14ac:dyDescent="0.25">
      <c r="A24" s="153"/>
      <c r="B24" s="154"/>
      <c r="C24" s="154"/>
      <c r="D24" s="154"/>
      <c r="E24" s="154"/>
      <c r="F24" s="154"/>
      <c r="G24" s="154"/>
      <c r="H24" s="154"/>
      <c r="I24" s="154"/>
      <c r="J24" s="155"/>
    </row>
    <row r="25" spans="1:10" x14ac:dyDescent="0.25">
      <c r="A25" s="153"/>
      <c r="B25" s="154"/>
      <c r="C25" s="154"/>
      <c r="D25" s="154"/>
      <c r="E25" s="154"/>
      <c r="F25" s="154"/>
      <c r="G25" s="154"/>
      <c r="H25" s="154"/>
      <c r="I25" s="154"/>
      <c r="J25" s="155"/>
    </row>
    <row r="26" spans="1:10" x14ac:dyDescent="0.25">
      <c r="A26" s="153"/>
      <c r="B26" s="154"/>
      <c r="C26" s="154"/>
      <c r="D26" s="154"/>
      <c r="E26" s="154"/>
      <c r="F26" s="154"/>
      <c r="G26" s="154"/>
      <c r="H26" s="154"/>
      <c r="I26" s="154"/>
      <c r="J26" s="155"/>
    </row>
    <row r="27" spans="1:10" x14ac:dyDescent="0.25">
      <c r="A27" s="153"/>
      <c r="B27" s="154"/>
      <c r="C27" s="154"/>
      <c r="D27" s="154"/>
      <c r="E27" s="154"/>
      <c r="F27" s="154"/>
      <c r="G27" s="154"/>
      <c r="H27" s="154"/>
      <c r="I27" s="154"/>
      <c r="J27" s="155"/>
    </row>
    <row r="28" spans="1:10" x14ac:dyDescent="0.25">
      <c r="A28" s="153"/>
      <c r="B28" s="154"/>
      <c r="C28" s="154"/>
      <c r="D28" s="154"/>
      <c r="E28" s="154"/>
      <c r="F28" s="154"/>
      <c r="G28" s="154"/>
      <c r="H28" s="154"/>
      <c r="I28" s="154"/>
      <c r="J28" s="155"/>
    </row>
    <row r="29" spans="1:10" x14ac:dyDescent="0.25">
      <c r="A29" s="153"/>
      <c r="B29" s="154"/>
      <c r="C29" s="154"/>
      <c r="D29" s="154"/>
      <c r="E29" s="154"/>
      <c r="F29" s="154"/>
      <c r="G29" s="154"/>
      <c r="H29" s="154"/>
      <c r="I29" s="154"/>
      <c r="J29" s="155"/>
    </row>
    <row r="30" spans="1:10" x14ac:dyDescent="0.25">
      <c r="A30" s="153"/>
      <c r="B30" s="154"/>
      <c r="C30" s="154"/>
      <c r="D30" s="154"/>
      <c r="E30" s="154"/>
      <c r="F30" s="154"/>
      <c r="G30" s="154"/>
      <c r="H30" s="154"/>
      <c r="I30" s="154"/>
      <c r="J30" s="155"/>
    </row>
    <row r="31" spans="1:10" x14ac:dyDescent="0.25">
      <c r="A31" s="153"/>
      <c r="B31" s="154"/>
      <c r="C31" s="154"/>
      <c r="D31" s="154"/>
      <c r="E31" s="154"/>
      <c r="F31" s="154"/>
      <c r="G31" s="154"/>
      <c r="H31" s="154"/>
      <c r="I31" s="154"/>
      <c r="J31" s="155"/>
    </row>
    <row r="32" spans="1:10" x14ac:dyDescent="0.25">
      <c r="A32" s="153"/>
      <c r="B32" s="154"/>
      <c r="C32" s="154"/>
      <c r="D32" s="154"/>
      <c r="E32" s="154"/>
      <c r="F32" s="154"/>
      <c r="G32" s="154"/>
      <c r="H32" s="154"/>
      <c r="I32" s="154"/>
      <c r="J32" s="155"/>
    </row>
    <row r="33" spans="1:10" x14ac:dyDescent="0.25">
      <c r="A33" s="153"/>
      <c r="B33" s="154"/>
      <c r="C33" s="154"/>
      <c r="D33" s="154"/>
      <c r="E33" s="154"/>
      <c r="F33" s="154"/>
      <c r="G33" s="154"/>
      <c r="H33" s="154"/>
      <c r="I33" s="154"/>
      <c r="J33" s="155"/>
    </row>
    <row r="34" spans="1:10" x14ac:dyDescent="0.25">
      <c r="A34" s="153"/>
      <c r="B34" s="154"/>
      <c r="C34" s="154"/>
      <c r="D34" s="154"/>
      <c r="E34" s="154"/>
      <c r="F34" s="154"/>
      <c r="G34" s="154"/>
      <c r="H34" s="154"/>
      <c r="I34" s="154"/>
      <c r="J34" s="155"/>
    </row>
    <row r="35" spans="1:10" x14ac:dyDescent="0.25">
      <c r="A35" s="156"/>
      <c r="B35" s="157"/>
      <c r="C35" s="157"/>
      <c r="D35" s="157"/>
      <c r="E35" s="157"/>
      <c r="F35" s="157"/>
      <c r="G35" s="157"/>
      <c r="H35" s="157"/>
      <c r="I35" s="157"/>
      <c r="J35" s="158"/>
    </row>
  </sheetData>
  <mergeCells count="4">
    <mergeCell ref="A13:J35"/>
    <mergeCell ref="A10:J10"/>
    <mergeCell ref="A11:J11"/>
    <mergeCell ref="A12:J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-0.249977111117893"/>
    <pageSetUpPr fitToPage="1"/>
  </sheetPr>
  <dimension ref="A1:M114"/>
  <sheetViews>
    <sheetView showGridLines="0" view="pageBreakPreview" topLeftCell="A13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152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5900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5900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32</v>
      </c>
    </row>
    <row r="11" spans="1:13" x14ac:dyDescent="0.25">
      <c r="A11" s="23" t="s">
        <v>64</v>
      </c>
      <c r="B11" s="24"/>
      <c r="C11" s="25">
        <f>ROUND(C8/C10,2)</f>
        <v>184.38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8.0052711864406781E-2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5.0205084745762706E-2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590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1358.52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1180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88.5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59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11.8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147.5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472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78.47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35.4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2072.67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491.47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164.02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655.49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230.27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885.76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12.98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4.5599999999999996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17.54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37.76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3.02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173.46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7.08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2.4900000000000002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7.08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230.89000000000004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491.47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35.4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2.95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3.54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0.59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533.95000000000005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187.58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721.53000000000009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3928.3900000000003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2072.67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885.76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17.54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230.89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721.53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3928.3900000000003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11186.91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111.87</v>
      </c>
    </row>
    <row r="91" spans="1:7" x14ac:dyDescent="0.25">
      <c r="A91" s="55" t="s">
        <v>130</v>
      </c>
      <c r="B91" s="56">
        <v>0.02</v>
      </c>
      <c r="C91" s="57">
        <f ca="1">ROUND($C$86*B91,2)</f>
        <v>223.74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335.61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249.55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81.099999999999994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374.33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704.98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11772.52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704.98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12477.5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12477.5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389.92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-0.249977111117893"/>
    <pageSetUpPr fitToPage="1"/>
  </sheetPr>
  <dimension ref="A1:M114"/>
  <sheetViews>
    <sheetView showGridLines="0" view="pageBreakPreview" topLeftCell="A22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43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4500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4500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53.33</v>
      </c>
    </row>
    <row r="11" spans="1:13" x14ac:dyDescent="0.25">
      <c r="A11" s="23" t="s">
        <v>64</v>
      </c>
      <c r="B11" s="24"/>
      <c r="C11" s="25">
        <f>ROUND(C8/C10,2)</f>
        <v>84.38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0.11113199999999999</v>
      </c>
      <c r="C16" s="28">
        <f>(26.46*21)*(1-IF(C6&gt;=6851.4,20%,IF(C6&gt;=5592.97,15%,IF(C6&gt;=4474.37,10%,IF(C6&gt;=3076.13,7.5%,IF(C6&gt;=1817.71,5%,IF(C6&lt;=1817.7,0%)))))))</f>
        <v>500.09399999999999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6.5824444444444435E-2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450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1246.3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900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67.5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45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9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112.5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360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59.85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27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1580.85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374.85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125.1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499.95000000000005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175.63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675.58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9.9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3.48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13.38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28.8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2.2999999999999998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132.30000000000001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5.4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1.9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5.4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176.10000000000002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374.85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27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2.25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2.7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0.45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407.25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143.07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550.31999999999994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2996.2299999999996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1580.85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675.58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13.38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176.1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550.32000000000005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2996.23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8742.5300000000007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87.43</v>
      </c>
    </row>
    <row r="91" spans="1:7" x14ac:dyDescent="0.25">
      <c r="A91" s="55" t="s">
        <v>130</v>
      </c>
      <c r="B91" s="56">
        <v>0.02</v>
      </c>
      <c r="C91" s="57">
        <f ca="1">ROUND($C$86*B91,2)</f>
        <v>174.85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262.27999999999997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196.18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63.76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294.27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554.21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9254.81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554.21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9809.02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9809.02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183.93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zoomScale="115" zoomScaleNormal="115" workbookViewId="0">
      <selection activeCell="B6" sqref="B6"/>
    </sheetView>
  </sheetViews>
  <sheetFormatPr defaultColWidth="8.85546875" defaultRowHeight="15" x14ac:dyDescent="0.25"/>
  <cols>
    <col min="1" max="1" width="22.5703125" style="119" bestFit="1" customWidth="1"/>
    <col min="2" max="2" width="71.85546875" style="119" customWidth="1"/>
    <col min="3" max="16384" width="8.85546875" style="119"/>
  </cols>
  <sheetData>
    <row r="1" spans="1:2" ht="21" x14ac:dyDescent="0.35">
      <c r="A1" s="162" t="s">
        <v>3</v>
      </c>
      <c r="B1" s="162"/>
    </row>
    <row r="2" spans="1:2" ht="15.75" x14ac:dyDescent="0.25">
      <c r="A2" s="120" t="s">
        <v>4</v>
      </c>
      <c r="B2" s="1" t="s">
        <v>154</v>
      </c>
    </row>
    <row r="3" spans="1:2" ht="15.75" x14ac:dyDescent="0.25">
      <c r="A3" s="120" t="s">
        <v>5</v>
      </c>
      <c r="B3" s="1" t="s">
        <v>155</v>
      </c>
    </row>
    <row r="4" spans="1:2" ht="15.75" x14ac:dyDescent="0.25">
      <c r="A4" s="120" t="s">
        <v>6</v>
      </c>
      <c r="B4" s="2">
        <v>44083</v>
      </c>
    </row>
    <row r="5" spans="1:2" ht="15.75" x14ac:dyDescent="0.25">
      <c r="A5" s="121" t="s">
        <v>7</v>
      </c>
      <c r="B5" s="1" t="s">
        <v>157</v>
      </c>
    </row>
    <row r="6" spans="1:2" ht="15.75" x14ac:dyDescent="0.25">
      <c r="A6" s="121" t="s">
        <v>8</v>
      </c>
      <c r="B6" s="1" t="s">
        <v>156</v>
      </c>
    </row>
    <row r="7" spans="1:2" ht="15.75" x14ac:dyDescent="0.25">
      <c r="A7" s="122" t="s">
        <v>9</v>
      </c>
      <c r="B7" s="1" t="s">
        <v>158</v>
      </c>
    </row>
    <row r="8" spans="1:2" ht="15.75" x14ac:dyDescent="0.25">
      <c r="A8" s="122" t="s">
        <v>10</v>
      </c>
      <c r="B8" s="145" t="s">
        <v>159</v>
      </c>
    </row>
    <row r="9" spans="1:2" ht="15.75" x14ac:dyDescent="0.25">
      <c r="A9" s="121" t="s">
        <v>11</v>
      </c>
      <c r="B9" s="1" t="s">
        <v>160</v>
      </c>
    </row>
    <row r="10" spans="1:2" ht="15.75" x14ac:dyDescent="0.25">
      <c r="A10" s="121" t="s">
        <v>12</v>
      </c>
      <c r="B10" s="124" t="s">
        <v>13</v>
      </c>
    </row>
    <row r="11" spans="1:2" x14ac:dyDescent="0.25">
      <c r="A11" s="123" t="s">
        <v>14</v>
      </c>
      <c r="B11" s="125" t="s">
        <v>15</v>
      </c>
    </row>
    <row r="12" spans="1:2" x14ac:dyDescent="0.25">
      <c r="A12" s="123" t="s">
        <v>16</v>
      </c>
      <c r="B12" s="126">
        <v>19500</v>
      </c>
    </row>
    <row r="13" spans="1:2" ht="15.75" x14ac:dyDescent="0.25">
      <c r="A13" s="121" t="s">
        <v>17</v>
      </c>
      <c r="B13" s="124" t="s">
        <v>18</v>
      </c>
    </row>
    <row r="14" spans="1:2" x14ac:dyDescent="0.25">
      <c r="A14" s="123" t="s">
        <v>14</v>
      </c>
      <c r="B14" s="125" t="s">
        <v>19</v>
      </c>
    </row>
    <row r="15" spans="1:2" x14ac:dyDescent="0.25">
      <c r="A15" s="123" t="s">
        <v>16</v>
      </c>
      <c r="B15" s="126">
        <v>77000</v>
      </c>
    </row>
  </sheetData>
  <mergeCells count="1">
    <mergeCell ref="A1:B1"/>
  </mergeCells>
  <hyperlinks>
    <hyperlink ref="B8" r:id="rId1" xr:uid="{6C4F095A-1BE2-4397-B99C-51C0ABFDDB0D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tabSelected="1" topLeftCell="A10" workbookViewId="0">
      <selection activeCell="D17" sqref="D17"/>
    </sheetView>
  </sheetViews>
  <sheetFormatPr defaultRowHeight="15" x14ac:dyDescent="0.25"/>
  <cols>
    <col min="1" max="1" width="35" customWidth="1"/>
    <col min="2" max="2" width="15.85546875" bestFit="1" customWidth="1"/>
    <col min="3" max="3" width="16.140625" bestFit="1" customWidth="1"/>
    <col min="4" max="4" width="17.85546875" customWidth="1"/>
    <col min="5" max="5" width="18.28515625" customWidth="1"/>
    <col min="6" max="6" width="13.85546875" customWidth="1"/>
    <col min="7" max="7" width="13.28515625" bestFit="1" customWidth="1"/>
    <col min="8" max="8" width="46" customWidth="1"/>
    <col min="9" max="9" width="12.28515625" customWidth="1"/>
    <col min="10" max="10" width="16.42578125" customWidth="1"/>
  </cols>
  <sheetData>
    <row r="1" spans="1:9" ht="30.75" customHeight="1" x14ac:dyDescent="0.25">
      <c r="A1" s="165" t="s">
        <v>20</v>
      </c>
      <c r="B1" s="165"/>
      <c r="C1" s="165"/>
      <c r="D1" s="165"/>
      <c r="E1" s="165"/>
      <c r="F1" s="132"/>
      <c r="H1" s="166" t="s">
        <v>21</v>
      </c>
      <c r="I1" s="166"/>
    </row>
    <row r="2" spans="1:9" x14ac:dyDescent="0.25">
      <c r="A2" s="7" t="s">
        <v>22</v>
      </c>
      <c r="B2" s="7" t="s">
        <v>23</v>
      </c>
      <c r="C2" s="7" t="s">
        <v>24</v>
      </c>
      <c r="D2" s="7" t="s">
        <v>25</v>
      </c>
      <c r="E2" s="7" t="s">
        <v>26</v>
      </c>
      <c r="F2" s="7" t="s">
        <v>27</v>
      </c>
      <c r="H2" s="7" t="s">
        <v>28</v>
      </c>
      <c r="I2" s="7" t="s">
        <v>29</v>
      </c>
    </row>
    <row r="3" spans="1:9" x14ac:dyDescent="0.25">
      <c r="A3" s="3" t="s">
        <v>30</v>
      </c>
      <c r="B3" s="6">
        <f ca="1">'3'!$C$109</f>
        <v>13152.67</v>
      </c>
      <c r="C3" s="4">
        <v>1</v>
      </c>
      <c r="D3" s="3">
        <v>160</v>
      </c>
      <c r="E3" s="6">
        <f ca="1">B3*C3</f>
        <v>13152.67</v>
      </c>
      <c r="F3" s="6">
        <f ca="1">B3/160</f>
        <v>82.204187500000003</v>
      </c>
      <c r="H3" s="5" t="s">
        <v>31</v>
      </c>
      <c r="I3" s="112"/>
    </row>
    <row r="4" spans="1:9" x14ac:dyDescent="0.25">
      <c r="A4" s="3" t="s">
        <v>32</v>
      </c>
      <c r="B4" s="6">
        <f ca="1">'4'!$C$109</f>
        <v>9809.02</v>
      </c>
      <c r="C4" s="4">
        <v>1</v>
      </c>
      <c r="D4" s="3">
        <v>160</v>
      </c>
      <c r="E4" s="6">
        <f t="shared" ref="E4:E11" ca="1" si="0">B4*C4</f>
        <v>9809.02</v>
      </c>
      <c r="F4" s="6">
        <f t="shared" ref="F4:F11" ca="1" si="1">B4/160</f>
        <v>61.306375000000003</v>
      </c>
      <c r="H4" s="3" t="s">
        <v>33</v>
      </c>
      <c r="I4" s="112"/>
    </row>
    <row r="5" spans="1:9" x14ac:dyDescent="0.25">
      <c r="A5" s="3" t="s">
        <v>34</v>
      </c>
      <c r="B5" s="6">
        <f ca="1">'4'!$C$109</f>
        <v>9809.02</v>
      </c>
      <c r="C5" s="4">
        <v>1</v>
      </c>
      <c r="D5" s="3">
        <v>160</v>
      </c>
      <c r="E5" s="6">
        <f t="shared" ca="1" si="0"/>
        <v>9809.02</v>
      </c>
      <c r="F5" s="6">
        <f t="shared" ca="1" si="1"/>
        <v>61.306375000000003</v>
      </c>
      <c r="H5" s="3" t="s">
        <v>35</v>
      </c>
      <c r="I5" s="112"/>
    </row>
    <row r="6" spans="1:9" x14ac:dyDescent="0.25">
      <c r="A6" s="5" t="s">
        <v>36</v>
      </c>
      <c r="B6" s="6">
        <f ca="1">'5'!$C$109</f>
        <v>12284.72</v>
      </c>
      <c r="C6" s="4">
        <v>0.5</v>
      </c>
      <c r="D6" s="3">
        <v>80</v>
      </c>
      <c r="E6" s="6">
        <f t="shared" ca="1" si="0"/>
        <v>6142.36</v>
      </c>
      <c r="F6" s="6">
        <f t="shared" ca="1" si="1"/>
        <v>76.779499999999999</v>
      </c>
      <c r="H6" s="3" t="s">
        <v>37</v>
      </c>
      <c r="I6" s="112"/>
    </row>
    <row r="7" spans="1:9" x14ac:dyDescent="0.25">
      <c r="A7" s="3" t="s">
        <v>38</v>
      </c>
      <c r="B7" s="6">
        <f ca="1">'2'!$C$109</f>
        <v>22278.54</v>
      </c>
      <c r="C7" s="4">
        <v>0.33329999999999999</v>
      </c>
      <c r="D7" s="3">
        <v>53.33</v>
      </c>
      <c r="E7" s="6">
        <f t="shared" ca="1" si="0"/>
        <v>7425.4373820000001</v>
      </c>
      <c r="F7" s="6">
        <f t="shared" ca="1" si="1"/>
        <v>139.24087500000002</v>
      </c>
      <c r="H7" s="3" t="s">
        <v>39</v>
      </c>
      <c r="I7" s="112"/>
    </row>
    <row r="8" spans="1:9" x14ac:dyDescent="0.25">
      <c r="A8" s="3" t="s">
        <v>40</v>
      </c>
      <c r="B8" s="6">
        <f ca="1">'1'!$C$109</f>
        <v>13055.8</v>
      </c>
      <c r="C8" s="4">
        <v>0.33329999999999999</v>
      </c>
      <c r="D8" s="3">
        <v>53.33</v>
      </c>
      <c r="E8" s="6">
        <f ca="1">B8*C8</f>
        <v>4351.4981399999997</v>
      </c>
      <c r="F8" s="6">
        <f t="shared" ca="1" si="1"/>
        <v>81.598749999999995</v>
      </c>
      <c r="H8" s="3" t="s">
        <v>153</v>
      </c>
      <c r="I8" s="139">
        <v>250</v>
      </c>
    </row>
    <row r="9" spans="1:9" x14ac:dyDescent="0.25">
      <c r="A9" s="3" t="s">
        <v>41</v>
      </c>
      <c r="B9" s="6">
        <f ca="1">'6'!$C$109</f>
        <v>6322.32</v>
      </c>
      <c r="C9" s="4">
        <v>0.33329999999999999</v>
      </c>
      <c r="D9" s="3">
        <v>53.33</v>
      </c>
      <c r="E9" s="6">
        <f t="shared" ca="1" si="0"/>
        <v>2107.2292559999996</v>
      </c>
      <c r="F9" s="6">
        <f t="shared" ca="1" si="1"/>
        <v>39.514499999999998</v>
      </c>
      <c r="H9" s="115" t="s">
        <v>42</v>
      </c>
      <c r="I9" s="116">
        <f>SUM(I3:I8)</f>
        <v>250</v>
      </c>
    </row>
    <row r="10" spans="1:9" x14ac:dyDescent="0.25">
      <c r="A10" s="3" t="s">
        <v>43</v>
      </c>
      <c r="B10" s="6">
        <f ca="1">'8'!$C$109</f>
        <v>9809.02</v>
      </c>
      <c r="C10" s="4">
        <v>0.2</v>
      </c>
      <c r="D10" s="3">
        <v>32</v>
      </c>
      <c r="E10" s="6">
        <f t="shared" ca="1" si="0"/>
        <v>1961.8040000000001</v>
      </c>
      <c r="F10" s="6">
        <f t="shared" ca="1" si="1"/>
        <v>61.306375000000003</v>
      </c>
      <c r="H10" s="130"/>
      <c r="I10" s="131"/>
    </row>
    <row r="11" spans="1:9" x14ac:dyDescent="0.25">
      <c r="A11" s="3" t="s">
        <v>44</v>
      </c>
      <c r="B11" s="6">
        <f ca="1">'7'!$C$109</f>
        <v>12477.5</v>
      </c>
      <c r="C11" s="4">
        <v>0.2</v>
      </c>
      <c r="D11" s="3">
        <v>32</v>
      </c>
      <c r="E11" s="6">
        <f t="shared" ca="1" si="0"/>
        <v>2495.5</v>
      </c>
      <c r="F11" s="6">
        <f t="shared" ca="1" si="1"/>
        <v>77.984375</v>
      </c>
    </row>
    <row r="12" spans="1:9" ht="29.25" customHeight="1" x14ac:dyDescent="0.25">
      <c r="C12" s="109" t="s">
        <v>42</v>
      </c>
      <c r="D12" s="110">
        <f>SUM(D3:D11)</f>
        <v>783.99000000000012</v>
      </c>
      <c r="E12" s="111">
        <f ca="1">SUM(E3:E11)</f>
        <v>57254.538778000002</v>
      </c>
      <c r="F12" s="117"/>
    </row>
    <row r="15" spans="1:9" ht="37.5" x14ac:dyDescent="0.3">
      <c r="A15" s="113" t="s">
        <v>45</v>
      </c>
      <c r="B15" s="141">
        <v>10</v>
      </c>
      <c r="D15" s="149"/>
      <c r="E15" s="140"/>
      <c r="F15" s="148"/>
      <c r="G15" s="140"/>
    </row>
    <row r="16" spans="1:9" ht="18.75" x14ac:dyDescent="0.3">
      <c r="A16" s="129" t="s">
        <v>46</v>
      </c>
      <c r="B16" s="142">
        <f>D12</f>
        <v>783.99000000000012</v>
      </c>
      <c r="E16" s="146"/>
      <c r="F16" s="148"/>
      <c r="G16" s="140"/>
    </row>
    <row r="17" spans="1:7" ht="18.75" x14ac:dyDescent="0.3">
      <c r="A17" s="129" t="s">
        <v>47</v>
      </c>
      <c r="B17" s="142">
        <f>IF(B15&gt;0,B16/B15,0)</f>
        <v>78.399000000000015</v>
      </c>
      <c r="F17" s="148"/>
      <c r="G17" s="140"/>
    </row>
    <row r="18" spans="1:7" ht="18.75" x14ac:dyDescent="0.3">
      <c r="A18" s="129" t="s">
        <v>48</v>
      </c>
      <c r="B18" s="143">
        <f ca="1">E12</f>
        <v>57254.538778000002</v>
      </c>
      <c r="F18" s="148"/>
      <c r="G18" s="140"/>
    </row>
    <row r="19" spans="1:7" ht="18.75" x14ac:dyDescent="0.3">
      <c r="A19" s="127"/>
      <c r="B19" s="128"/>
      <c r="F19" s="148"/>
      <c r="G19" s="140"/>
    </row>
    <row r="20" spans="1:7" ht="18" customHeight="1" x14ac:dyDescent="0.3">
      <c r="A20" s="167" t="s">
        <v>49</v>
      </c>
      <c r="B20" s="167"/>
      <c r="C20" s="167"/>
      <c r="D20" s="167"/>
      <c r="F20" s="148"/>
      <c r="G20" s="140"/>
    </row>
    <row r="21" spans="1:7" ht="18.75" x14ac:dyDescent="0.3">
      <c r="A21" s="129" t="s">
        <v>50</v>
      </c>
      <c r="B21" s="114">
        <f ca="1">B18/D12</f>
        <v>73.029679942346192</v>
      </c>
      <c r="C21" s="163" t="s">
        <v>51</v>
      </c>
      <c r="D21" s="164"/>
      <c r="F21" s="148"/>
      <c r="G21" s="140"/>
    </row>
    <row r="22" spans="1:7" ht="18.75" x14ac:dyDescent="0.3">
      <c r="A22" s="129" t="s">
        <v>52</v>
      </c>
      <c r="B22" s="114">
        <f ca="1">IF(B17&gt;0,B18/B17,0)</f>
        <v>730.29679942346195</v>
      </c>
      <c r="C22" s="163" t="s">
        <v>53</v>
      </c>
      <c r="D22" s="164"/>
      <c r="F22" s="148"/>
      <c r="G22" s="140"/>
    </row>
    <row r="23" spans="1:7" x14ac:dyDescent="0.25">
      <c r="F23" s="148"/>
      <c r="G23" s="140"/>
    </row>
    <row r="24" spans="1:7" x14ac:dyDescent="0.25">
      <c r="B24" s="147"/>
    </row>
    <row r="25" spans="1:7" x14ac:dyDescent="0.25">
      <c r="C25" s="146"/>
      <c r="D25" s="147"/>
      <c r="G25" s="140"/>
    </row>
  </sheetData>
  <mergeCells count="5">
    <mergeCell ref="C22:D22"/>
    <mergeCell ref="A1:E1"/>
    <mergeCell ref="H1:I1"/>
    <mergeCell ref="A20:D20"/>
    <mergeCell ref="C21:D21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  <pageSetUpPr fitToPage="1"/>
  </sheetPr>
  <dimension ref="A1:M114"/>
  <sheetViews>
    <sheetView showGridLines="0" view="pageBreakPreview" topLeftCell="A91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55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6200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6200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53.33</v>
      </c>
    </row>
    <row r="11" spans="1:13" x14ac:dyDescent="0.25">
      <c r="A11" s="23" t="s">
        <v>64</v>
      </c>
      <c r="B11" s="24"/>
      <c r="C11" s="25">
        <f>ROUND(C8/C10,2)</f>
        <v>116.26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7.6179193548387092E-2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4.7775806451612897E-2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620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1388.52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1240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93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62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12.4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155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496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82.46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37.200000000000003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2178.06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516.46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172.36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688.82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241.98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930.80000000000007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13.64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4.79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18.43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39.68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3.17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182.28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7.44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2.61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7.44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242.62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516.46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37.200000000000003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3.1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3.72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0.62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561.10000000000014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197.11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758.21000000000015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4128.12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2178.06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930.8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18.43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242.63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758.21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4128.1299999999992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11716.65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117.17</v>
      </c>
    </row>
    <row r="91" spans="1:7" x14ac:dyDescent="0.25">
      <c r="A91" s="55" t="s">
        <v>130</v>
      </c>
      <c r="B91" s="56">
        <v>0.02</v>
      </c>
      <c r="C91" s="57">
        <f ca="1">ROUND($C$86*B91,2)</f>
        <v>234.33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351.5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261.12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84.86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391.67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737.65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12318.15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737.65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13055.8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13055.8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244.81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70:B70"/>
    <mergeCell ref="A4:C4"/>
    <mergeCell ref="A8:B8"/>
    <mergeCell ref="A13:C13"/>
    <mergeCell ref="A1:C1"/>
    <mergeCell ref="A2:C2"/>
    <mergeCell ref="A20:B20"/>
    <mergeCell ref="A22:C22"/>
    <mergeCell ref="A28:B28"/>
    <mergeCell ref="A30:C30"/>
    <mergeCell ref="A45:B45"/>
    <mergeCell ref="A104:B104"/>
    <mergeCell ref="A76:C7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13:B113"/>
    <mergeCell ref="A105:B105"/>
    <mergeCell ref="A106:B106"/>
    <mergeCell ref="A108:C108"/>
    <mergeCell ref="A109:B109"/>
    <mergeCell ref="A111:B111"/>
    <mergeCell ref="A112:B1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  <pageSetUpPr fitToPage="1"/>
  </sheetPr>
  <dimension ref="A1:M114"/>
  <sheetViews>
    <sheetView showGridLines="0" view="pageBreakPreview" topLeftCell="A16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38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11000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11000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53.33</v>
      </c>
    </row>
    <row r="11" spans="1:13" x14ac:dyDescent="0.25">
      <c r="A11" s="23" t="s">
        <v>64</v>
      </c>
      <c r="B11" s="24"/>
      <c r="C11" s="25">
        <f>ROUND(C8/C10,2)</f>
        <v>206.26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4.0411636363636365E-2</v>
      </c>
      <c r="C16" s="28">
        <f>(26.46*21)*(1-IF(C6&gt;=6851.4,20%,IF(C6&gt;=5592.97,15%,IF(C6&gt;=4474.37,10%,IF(C6&gt;=3076.13,7.5%,IF(C6&gt;=1817.71,5%,IF(C6&lt;=1817.7,0%)))))))</f>
        <v>444.52800000000002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2.6928181818181816E-2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1100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1840.74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2200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165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110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22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275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880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146.30000000000001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66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3864.3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916.3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305.8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1222.0999999999999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429.32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1651.4199999999998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24.2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8.5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32.700000000000003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70.400000000000006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5.63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323.39999999999998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13.2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4.6399999999999997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13.2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430.46999999999991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916.3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66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5.5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6.6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1.1000000000000001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995.5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349.72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1345.22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7324.1100000000006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3864.3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1651.42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32.700000000000003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430.47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1345.22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7324.1100000000006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20164.849999999999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201.65</v>
      </c>
    </row>
    <row r="91" spans="1:7" x14ac:dyDescent="0.25">
      <c r="A91" s="55" t="s">
        <v>130</v>
      </c>
      <c r="B91" s="56">
        <v>0.02</v>
      </c>
      <c r="C91" s="57">
        <f ca="1">ROUND($C$86*B91,2)</f>
        <v>403.3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604.95000000000005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445.57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144.81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668.36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1258.74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21019.8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1258.74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22278.54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22278.54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417.75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M114"/>
  <sheetViews>
    <sheetView showGridLines="0" view="pageBreakPreview" topLeftCell="A76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148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6200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6200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160</v>
      </c>
    </row>
    <row r="11" spans="1:13" x14ac:dyDescent="0.25">
      <c r="A11" s="23" t="s">
        <v>64</v>
      </c>
      <c r="B11" s="24"/>
      <c r="C11" s="25">
        <f>ROUND(C8/C10,2)</f>
        <v>38.75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7.6179193548387092E-2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4.7775806451612897E-2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620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1388.52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1240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93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62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12.4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155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496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82.46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37.200000000000003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2178.06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516.46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172.36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688.82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241.98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930.80000000000007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13.64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4.79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18.43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39.68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3.17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182.28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7.44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2.61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7.44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242.62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516.46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37.200000000000003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3.1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3.72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0.62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561.10000000000014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197.11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758.21000000000015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4128.12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2178.06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930.8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18.43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242.63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758.21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4128.1299999999992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11716.65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117.17</v>
      </c>
    </row>
    <row r="91" spans="1:7" x14ac:dyDescent="0.25">
      <c r="A91" s="55" t="s">
        <v>130</v>
      </c>
      <c r="B91" s="56">
        <v>2.7799999999999998E-2</v>
      </c>
      <c r="C91" s="57">
        <f ca="1">ROUND($C$86*B91,2)</f>
        <v>325.72000000000003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442.89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263.05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85.49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394.58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743.13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12409.54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743.13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13152.67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13152.67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82.2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M114"/>
  <sheetViews>
    <sheetView showGridLines="0" view="pageBreakPreview" topLeftCell="A16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149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4500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4500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160</v>
      </c>
    </row>
    <row r="11" spans="1:13" x14ac:dyDescent="0.25">
      <c r="A11" s="23" t="s">
        <v>64</v>
      </c>
      <c r="B11" s="24"/>
      <c r="C11" s="25">
        <f>ROUND(C8/C10,2)</f>
        <v>28.13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0.11113199999999999</v>
      </c>
      <c r="C16" s="28">
        <f>(26.46*21)*(1-IF(C6&gt;=6851.4,20%,IF(C6&gt;=5592.97,15%,IF(C6&gt;=4474.37,10%,IF(C6&gt;=3076.13,7.5%,IF(C6&gt;=1817.71,5%,IF(C6&lt;=1817.7,0%)))))))</f>
        <v>500.09399999999999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6.5824444444444435E-2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450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1246.3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900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67.5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45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9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112.5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360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59.85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27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1580.85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374.85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125.1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499.95000000000005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175.63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675.58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9.9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3.48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13.38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28.8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2.2999999999999998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132.30000000000001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5.4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1.9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5.4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176.10000000000002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374.85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27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2.25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2.7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0.45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407.25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143.07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550.31999999999994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2996.2299999999996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1580.85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675.58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13.38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176.1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550.32000000000005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2996.23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8742.5300000000007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87.43</v>
      </c>
    </row>
    <row r="91" spans="1:7" x14ac:dyDescent="0.25">
      <c r="A91" s="55" t="s">
        <v>130</v>
      </c>
      <c r="B91" s="56">
        <v>0.02</v>
      </c>
      <c r="C91" s="57">
        <f ca="1">ROUND($C$86*B91,2)</f>
        <v>174.85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262.27999999999997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196.18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63.76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294.27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554.21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9254.81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554.21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9809.02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9809.02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61.31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  <pageSetUpPr fitToPage="1"/>
  </sheetPr>
  <dimension ref="A1:M114"/>
  <sheetViews>
    <sheetView showGridLines="0" view="pageBreakPreview" topLeftCell="A19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150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5800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5800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80</v>
      </c>
    </row>
    <row r="11" spans="1:13" x14ac:dyDescent="0.25">
      <c r="A11" s="23" t="s">
        <v>64</v>
      </c>
      <c r="B11" s="24"/>
      <c r="C11" s="25">
        <f>ROUND(C8/C10,2)</f>
        <v>72.5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8.143293103448275E-2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5.1070689655172412E-2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580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1348.52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1160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87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58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11.6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145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464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77.14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34.799999999999997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2037.54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483.14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161.24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644.38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226.37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870.75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12.76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4.4800000000000004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17.240000000000002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37.119999999999997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2.97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170.52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6.96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2.4500000000000002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6.96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226.98000000000002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483.14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34.799999999999997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2.9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3.48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0.57999999999999996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524.9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184.4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709.3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3861.8099999999995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2037.54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870.75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17.239999999999998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226.97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709.3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3861.7999999999993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11010.32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110.1</v>
      </c>
    </row>
    <row r="91" spans="1:7" x14ac:dyDescent="0.25">
      <c r="A91" s="55" t="s">
        <v>130</v>
      </c>
      <c r="B91" s="56">
        <v>0.02</v>
      </c>
      <c r="C91" s="57">
        <f ca="1">ROUND($C$86*B91,2)</f>
        <v>220.21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330.31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245.7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79.849999999999994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368.54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694.09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11590.63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694.09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12284.72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12284.72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153.56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-0.249977111117893"/>
    <pageSetUpPr fitToPage="1"/>
  </sheetPr>
  <dimension ref="A1:M114"/>
  <sheetViews>
    <sheetView showGridLines="0" view="pageBreakPreview" topLeftCell="A22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.5703125" style="9" bestFit="1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9" t="s">
        <v>54</v>
      </c>
      <c r="B1" s="189"/>
      <c r="C1" s="189"/>
    </row>
    <row r="2" spans="1:13" ht="18.600000000000001" customHeight="1" x14ac:dyDescent="0.25">
      <c r="A2" s="190" t="s">
        <v>151</v>
      </c>
      <c r="B2" s="190"/>
      <c r="C2" s="190"/>
    </row>
    <row r="3" spans="1:13" x14ac:dyDescent="0.25">
      <c r="A3" s="10"/>
      <c r="B3" s="11"/>
      <c r="C3" s="11"/>
    </row>
    <row r="4" spans="1:13" x14ac:dyDescent="0.25">
      <c r="A4" s="177" t="s">
        <v>56</v>
      </c>
      <c r="B4" s="177"/>
      <c r="C4" s="177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2500</v>
      </c>
      <c r="E6" s="144"/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80" t="s">
        <v>62</v>
      </c>
      <c r="B8" s="186"/>
      <c r="C8" s="20">
        <f>C6+C7</f>
        <v>2500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32</v>
      </c>
    </row>
    <row r="11" spans="1:13" x14ac:dyDescent="0.25">
      <c r="A11" s="23" t="s">
        <v>64</v>
      </c>
      <c r="B11" s="24"/>
      <c r="C11" s="25">
        <f>ROUND(C8/C10,2)</f>
        <v>78.13</v>
      </c>
    </row>
    <row r="12" spans="1:13" x14ac:dyDescent="0.25">
      <c r="A12" s="21"/>
      <c r="B12" s="136"/>
      <c r="C12" s="22"/>
    </row>
    <row r="13" spans="1:13" x14ac:dyDescent="0.25">
      <c r="A13" s="187" t="s">
        <v>65</v>
      </c>
      <c r="B13" s="188"/>
      <c r="C13" s="188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2.4E-2</v>
      </c>
      <c r="C15" s="28">
        <f>IF((C8*6%)&gt;210,0,(210-(C8*6%)))</f>
        <v>60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0.21115079999999997</v>
      </c>
      <c r="C16" s="28">
        <f>(26.46*21)*(1-IF(C6&gt;=6851.4,20%,IF(C6&gt;=5592.97,15%,IF(C6&gt;=4474.37,10%,IF(C6&gt;=3076.13,7.5%,IF(C6&gt;=1817.71,5%,IF(C6&lt;=1817.7,0%)))))))</f>
        <v>527.87699999999995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0.11848399999999999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0.2</v>
      </c>
      <c r="C19" s="28">
        <f>B19*C8</f>
        <v>500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80" t="s">
        <v>72</v>
      </c>
      <c r="B20" s="181"/>
      <c r="C20" s="98">
        <f ca="1">ROUND(SUM(C15:C19),2)</f>
        <v>1384.09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7" t="s">
        <v>73</v>
      </c>
      <c r="B22" s="177"/>
      <c r="C22" s="171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80" t="s">
        <v>77</v>
      </c>
      <c r="B28" s="181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7" t="s">
        <v>78</v>
      </c>
      <c r="B30" s="177"/>
      <c r="C30" s="171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0.2</v>
      </c>
      <c r="C32" s="100">
        <f t="shared" ref="C32:C39" si="3">ROUND($C$8*B32,2)</f>
        <v>500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37.5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25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5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62.5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200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33.25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15</v>
      </c>
      <c r="D39" s="54"/>
    </row>
    <row r="40" spans="1:13" x14ac:dyDescent="0.25">
      <c r="A40" s="12" t="s">
        <v>88</v>
      </c>
      <c r="B40" s="13">
        <f>ROUND(SUM(B32:B39),4)</f>
        <v>0.3513</v>
      </c>
      <c r="C40" s="59">
        <f>ROUND(SUM(C32:C39),2)</f>
        <v>878.25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208.25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69.5</v>
      </c>
      <c r="D44" s="54"/>
      <c r="I44" s="66"/>
    </row>
    <row r="45" spans="1:13" x14ac:dyDescent="0.25">
      <c r="A45" s="191" t="s">
        <v>92</v>
      </c>
      <c r="B45" s="185"/>
      <c r="C45" s="67">
        <f>SUM(C43:C44)</f>
        <v>277.75</v>
      </c>
      <c r="D45" s="54"/>
    </row>
    <row r="46" spans="1:13" x14ac:dyDescent="0.25">
      <c r="A46" s="68" t="s">
        <v>93</v>
      </c>
      <c r="B46" s="56">
        <f>SUM(B43:B44)*B40</f>
        <v>3.9029430000000004E-2</v>
      </c>
      <c r="C46" s="57">
        <f>ROUND($C$8*B46,2)</f>
        <v>97.57</v>
      </c>
      <c r="D46" s="54"/>
    </row>
    <row r="47" spans="1:13" x14ac:dyDescent="0.25">
      <c r="A47" s="12" t="s">
        <v>94</v>
      </c>
      <c r="B47" s="13">
        <f>SUM(B43:B44,B46)</f>
        <v>0.15012943000000001</v>
      </c>
      <c r="C47" s="59">
        <f>C45+C46</f>
        <v>375.32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5.5</v>
      </c>
      <c r="D50" s="54"/>
      <c r="G50" s="69"/>
    </row>
    <row r="51" spans="1:7" x14ac:dyDescent="0.25">
      <c r="A51" s="64" t="s">
        <v>97</v>
      </c>
      <c r="B51" s="56">
        <f>B50*B40</f>
        <v>7.7286E-4</v>
      </c>
      <c r="C51" s="57">
        <f>ROUND($C$8*B51,2)</f>
        <v>1.93</v>
      </c>
      <c r="D51" s="54"/>
    </row>
    <row r="52" spans="1:7" x14ac:dyDescent="0.25">
      <c r="A52" s="12" t="s">
        <v>98</v>
      </c>
      <c r="B52" s="13">
        <f>SUM(B50:B51)</f>
        <v>2.9728599999999999E-3</v>
      </c>
      <c r="C52" s="59">
        <f>SUM(C50:C51)</f>
        <v>7.43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16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1.28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73.5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3</v>
      </c>
      <c r="D58" s="54"/>
    </row>
    <row r="59" spans="1:7" x14ac:dyDescent="0.25">
      <c r="A59" s="64" t="s">
        <v>104</v>
      </c>
      <c r="B59" s="138">
        <f>B40*B58</f>
        <v>4.2155999999999997E-4</v>
      </c>
      <c r="C59" s="57">
        <f t="shared" si="4"/>
        <v>1.05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3</v>
      </c>
      <c r="D60" s="54"/>
    </row>
    <row r="61" spans="1:7" x14ac:dyDescent="0.25">
      <c r="A61" s="12" t="s">
        <v>106</v>
      </c>
      <c r="B61" s="13">
        <f>SUM(B55:B60)</f>
        <v>3.9133559999999998E-2</v>
      </c>
      <c r="C61" s="59">
        <f>SUM(C55:C60)</f>
        <v>97.83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208.25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15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1.25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1.5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0.25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4" t="s">
        <v>92</v>
      </c>
      <c r="B70" s="185"/>
      <c r="C70" s="67">
        <f>SUM(C64:C69)</f>
        <v>226.25</v>
      </c>
      <c r="D70" s="54"/>
      <c r="E70" s="30"/>
    </row>
    <row r="71" spans="1:5" x14ac:dyDescent="0.25">
      <c r="A71" s="68" t="s">
        <v>114</v>
      </c>
      <c r="B71" s="56">
        <f>SUM(B64:B69)*B40</f>
        <v>3.1792650000000006E-2</v>
      </c>
      <c r="C71" s="57">
        <f>ROUND($C$8*B71,2)</f>
        <v>79.48</v>
      </c>
      <c r="D71" s="54"/>
    </row>
    <row r="72" spans="1:5" x14ac:dyDescent="0.25">
      <c r="A72" s="12" t="s">
        <v>115</v>
      </c>
      <c r="B72" s="13">
        <f>SUM(B64:B69,B71)</f>
        <v>0.12229265000000002</v>
      </c>
      <c r="C72" s="59">
        <f>SUM(C64:C69)+C71</f>
        <v>305.73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0.66582849999999993</v>
      </c>
      <c r="C74" s="14">
        <f>SUM(C40,C47,C52,C61,C72)</f>
        <v>1664.56</v>
      </c>
      <c r="D74" s="71"/>
    </row>
    <row r="75" spans="1:5" x14ac:dyDescent="0.25">
      <c r="A75" s="72"/>
      <c r="B75" s="73"/>
      <c r="C75" s="74"/>
    </row>
    <row r="76" spans="1:5" x14ac:dyDescent="0.25">
      <c r="A76" s="177" t="s">
        <v>117</v>
      </c>
      <c r="B76" s="177"/>
      <c r="C76" s="177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0.3513</v>
      </c>
      <c r="C78" s="67">
        <f>ROUND($C$8*B78,2)</f>
        <v>878.25</v>
      </c>
    </row>
    <row r="79" spans="1:5" x14ac:dyDescent="0.25">
      <c r="A79" s="64" t="s">
        <v>120</v>
      </c>
      <c r="B79" s="16">
        <f>B47</f>
        <v>0.15012943000000001</v>
      </c>
      <c r="C79" s="67">
        <f t="shared" ref="C79:C83" si="6">ROUND($C$8*B79,2)</f>
        <v>375.32</v>
      </c>
    </row>
    <row r="80" spans="1:5" x14ac:dyDescent="0.25">
      <c r="A80" s="64" t="s">
        <v>121</v>
      </c>
      <c r="B80" s="16">
        <f>B52</f>
        <v>2.9728599999999999E-3</v>
      </c>
      <c r="C80" s="67">
        <f t="shared" si="6"/>
        <v>7.43</v>
      </c>
    </row>
    <row r="81" spans="1:7" x14ac:dyDescent="0.25">
      <c r="A81" s="64" t="s">
        <v>122</v>
      </c>
      <c r="B81" s="16">
        <f>B61</f>
        <v>3.9133559999999998E-2</v>
      </c>
      <c r="C81" s="67">
        <f t="shared" si="6"/>
        <v>97.83</v>
      </c>
    </row>
    <row r="82" spans="1:7" x14ac:dyDescent="0.25">
      <c r="A82" s="64" t="s">
        <v>123</v>
      </c>
      <c r="B82" s="16">
        <f>B72</f>
        <v>0.12229265000000002</v>
      </c>
      <c r="C82" s="67">
        <f t="shared" si="6"/>
        <v>305.73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0.66582849999999993</v>
      </c>
      <c r="C84" s="14">
        <f>SUM(C78:C83)</f>
        <v>1664.56</v>
      </c>
    </row>
    <row r="85" spans="1:7" x14ac:dyDescent="0.25">
      <c r="A85" s="75"/>
      <c r="B85" s="61"/>
      <c r="C85" s="62"/>
    </row>
    <row r="86" spans="1:7" x14ac:dyDescent="0.25">
      <c r="A86" s="168" t="s">
        <v>126</v>
      </c>
      <c r="B86" s="168"/>
      <c r="C86" s="14">
        <f ca="1">C8+C20+C28+C84</f>
        <v>5548.65</v>
      </c>
    </row>
    <row r="87" spans="1:7" x14ac:dyDescent="0.25">
      <c r="A87" s="76"/>
      <c r="B87" s="76"/>
      <c r="C87" s="22"/>
      <c r="E87" s="30"/>
    </row>
    <row r="88" spans="1:7" x14ac:dyDescent="0.25">
      <c r="A88" s="171" t="s">
        <v>127</v>
      </c>
      <c r="B88" s="172"/>
      <c r="C88" s="173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0.01</v>
      </c>
      <c r="C90" s="57">
        <f ca="1">ROUND($C$86*B90,2)</f>
        <v>55.49</v>
      </c>
    </row>
    <row r="91" spans="1:7" x14ac:dyDescent="0.25">
      <c r="A91" s="55" t="s">
        <v>130</v>
      </c>
      <c r="B91" s="56">
        <v>0.02</v>
      </c>
      <c r="C91" s="57">
        <f ca="1">ROUND($C$86*B91,2)</f>
        <v>110.97</v>
      </c>
      <c r="E91" s="178"/>
      <c r="F91" s="179"/>
    </row>
    <row r="92" spans="1:7" x14ac:dyDescent="0.25">
      <c r="A92" s="180" t="s">
        <v>131</v>
      </c>
      <c r="B92" s="181"/>
      <c r="C92" s="33">
        <f ca="1">ROUND(SUM(C90:C91),2)</f>
        <v>166.46</v>
      </c>
      <c r="E92" s="178"/>
      <c r="F92" s="179"/>
    </row>
    <row r="93" spans="1:7" x14ac:dyDescent="0.25">
      <c r="A93" s="182"/>
      <c r="B93" s="183"/>
      <c r="C93" s="22"/>
      <c r="E93" s="178"/>
      <c r="F93" s="179"/>
    </row>
    <row r="94" spans="1:7" x14ac:dyDescent="0.25">
      <c r="A94" s="180" t="s">
        <v>132</v>
      </c>
      <c r="B94" s="181"/>
      <c r="C94" s="33">
        <f>'Custos do Time'!I9</f>
        <v>250</v>
      </c>
      <c r="E94" s="178"/>
      <c r="F94" s="179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1" t="s">
        <v>133</v>
      </c>
      <c r="B96" s="172"/>
      <c r="C96" s="173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126.45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41.09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189.67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0</v>
      </c>
      <c r="C101" s="82">
        <f ca="1">ROUND($C$105*B101/$B$102,2)</f>
        <v>0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5.6500000000000002E-2</v>
      </c>
      <c r="C102" s="85">
        <f ca="1">ROUND($C$105*B102/$B$102,2)</f>
        <v>357.21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5" t="s">
        <v>140</v>
      </c>
      <c r="B104" s="176"/>
      <c r="C104" s="90">
        <f ca="1">ROUND(C86+C92+C94,2)</f>
        <v>5965.11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9" t="s">
        <v>141</v>
      </c>
      <c r="B105" s="170"/>
      <c r="C105" s="14">
        <f ca="1">ROUND(C106-C104,2)</f>
        <v>357.21</v>
      </c>
      <c r="E105" s="86"/>
      <c r="G105" s="30"/>
      <c r="H105" s="30"/>
      <c r="I105" s="30"/>
      <c r="J105" s="30"/>
    </row>
    <row r="106" spans="1:11" s="30" customFormat="1" x14ac:dyDescent="0.25">
      <c r="A106" s="168" t="s">
        <v>142</v>
      </c>
      <c r="B106" s="168"/>
      <c r="C106" s="14">
        <f ca="1">ROUND(C104/(1-$B$102),2)</f>
        <v>6322.32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1" t="s">
        <v>143</v>
      </c>
      <c r="B108" s="172"/>
      <c r="C108" s="173"/>
    </row>
    <row r="109" spans="1:11" s="30" customFormat="1" x14ac:dyDescent="0.25">
      <c r="A109" s="174" t="s">
        <v>144</v>
      </c>
      <c r="B109" s="174"/>
      <c r="C109" s="20">
        <f ca="1">ROUND(C106,2)</f>
        <v>6322.32</v>
      </c>
    </row>
    <row r="110" spans="1:11" x14ac:dyDescent="0.25">
      <c r="A110" s="21"/>
      <c r="B110" s="135"/>
      <c r="C110" s="92"/>
    </row>
    <row r="111" spans="1:11" hidden="1" x14ac:dyDescent="0.25">
      <c r="A111" s="168" t="s">
        <v>145</v>
      </c>
      <c r="B111" s="168"/>
      <c r="C111" s="67" t="e">
        <f>ROUND(#REF!/C8,2)</f>
        <v>#REF!</v>
      </c>
    </row>
    <row r="112" spans="1:11" x14ac:dyDescent="0.25">
      <c r="A112" s="168" t="s">
        <v>146</v>
      </c>
      <c r="B112" s="168"/>
      <c r="C112" s="67">
        <f ca="1">ROUND(C109/C10,2)</f>
        <v>197.57</v>
      </c>
    </row>
    <row r="113" spans="1:3" hidden="1" x14ac:dyDescent="0.25">
      <c r="A113" s="168" t="s">
        <v>147</v>
      </c>
      <c r="B113" s="168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1C3E542A30EB459301A6A101F4A75B" ma:contentTypeVersion="6" ma:contentTypeDescription="Create a new document." ma:contentTypeScope="" ma:versionID="1922e19b872795437e9231d2f3725de4">
  <xsd:schema xmlns:xsd="http://www.w3.org/2001/XMLSchema" xmlns:xs="http://www.w3.org/2001/XMLSchema" xmlns:p="http://schemas.microsoft.com/office/2006/metadata/properties" xmlns:ns2="b13528a1-ecff-4857-b3b6-1d00234823a0" targetNamespace="http://schemas.microsoft.com/office/2006/metadata/properties" ma:root="true" ma:fieldsID="4e31f42c30a6802d02c42ae320b053f0" ns2:_="">
    <xsd:import namespace="b13528a1-ecff-4857-b3b6-1d00234823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3528a1-ecff-4857-b3b6-1d00234823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17F8AD-56E5-4BFC-BB67-012534663D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E0C4AF-B46F-4EE2-A1DC-6929E331D8B4}">
  <ds:schemaRefs>
    <ds:schemaRef ds:uri="b13528a1-ecff-4857-b3b6-1d00234823a0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9C3EE8B-EF77-4D9A-8FDA-FC7836B175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3528a1-ecff-4857-b3b6-1d00234823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16</vt:i4>
      </vt:variant>
    </vt:vector>
  </HeadingPairs>
  <TitlesOfParts>
    <vt:vector size="27" baseType="lpstr">
      <vt:lpstr>Orientações Gerais</vt:lpstr>
      <vt:lpstr>Dados da Empresa</vt:lpstr>
      <vt:lpstr>Custos do Time</vt:lpstr>
      <vt:lpstr>1</vt:lpstr>
      <vt:lpstr>2</vt:lpstr>
      <vt:lpstr>3</vt:lpstr>
      <vt:lpstr>4</vt:lpstr>
      <vt:lpstr>5</vt:lpstr>
      <vt:lpstr>6</vt:lpstr>
      <vt:lpstr>7</vt:lpstr>
      <vt:lpstr>8</vt:lpstr>
      <vt:lpstr>'1'!Area_de_impressao</vt:lpstr>
      <vt:lpstr>'2'!Area_de_impressao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'8'!Area_de_impressao</vt:lpstr>
      <vt:lpstr>'1'!Titulos_de_impressao</vt:lpstr>
      <vt:lpstr>'2'!Titulos_de_impressao</vt:lpstr>
      <vt:lpstr>'3'!Titulos_de_impressao</vt:lpstr>
      <vt:lpstr>'4'!Titulos_de_impressao</vt:lpstr>
      <vt:lpstr>'5'!Titulos_de_impressao</vt:lpstr>
      <vt:lpstr>'6'!Titulos_de_impressao</vt:lpstr>
      <vt:lpstr>'7'!Titulos_de_impressao</vt:lpstr>
      <vt:lpstr>'8'!Titulos_de_impressao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Frederico Borelli</dc:creator>
  <cp:keywords/>
  <dc:description/>
  <cp:lastModifiedBy>Jusmar Chaves</cp:lastModifiedBy>
  <cp:revision/>
  <dcterms:created xsi:type="dcterms:W3CDTF">2019-05-24T14:19:40Z</dcterms:created>
  <dcterms:modified xsi:type="dcterms:W3CDTF">2020-09-24T18:50:02Z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0x0101008D1C3E542A30EB459301A6A101F4A75B</vt:lpwstr>
  </property>
</Properties>
</file>